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85" windowHeight="8580" activeTab="0"/>
  </bookViews>
  <sheets>
    <sheet name="Sheet1" sheetId="1" r:id="rId1"/>
  </sheets>
  <definedNames>
    <definedName name="AdvanceDates">'Sheet1'!#REF!</definedName>
    <definedName name="AdvancedFees">'Sheet1'!$E$11</definedName>
    <definedName name="Base">'Sheet1'!$M$4</definedName>
    <definedName name="BFRT_hsaocnryapfgkrbys17g" hidden="1">'Sheet1'!$A$1</definedName>
    <definedName name="BFRTPZONRQAFKZGGK3" hidden="1">'Sheet1'!$A$1</definedName>
    <definedName name="cashFlows">'Sheet1'!$I$38:$I$188</definedName>
    <definedName name="CloseBals">'Sheet1'!$K$38:$K$188</definedName>
    <definedName name="Dates">'Sheet1'!$C$38:$C$188</definedName>
    <definedName name="DayCount">'Sheet1'!$E$19</definedName>
    <definedName name="DrawDate">'Sheet1'!$E$13</definedName>
    <definedName name="FeeDates">'Sheet1'!#REF!</definedName>
    <definedName name="Fees">'Sheet1'!#REF!</definedName>
    <definedName name="FinBal">'Sheet1'!$E$16</definedName>
    <definedName name="FirstPmtDate">'Sheet1'!$C$39</definedName>
    <definedName name="FromDatesInt">'Sheet1'!#REF!</definedName>
    <definedName name="IntRate">'Sheet1'!$E$15</definedName>
    <definedName name="IntRates">'Sheet1'!#REF!</definedName>
    <definedName name="LoanAmount">'Sheet1'!$L$10</definedName>
    <definedName name="LoanPmts">'Sheet1'!$G$38:$G$188</definedName>
    <definedName name="NetAdvances">'Sheet1'!#REF!</definedName>
    <definedName name="NumPmts">'Sheet1'!$E$14</definedName>
    <definedName name="PeriodsInt">'Sheet1'!$E$24:$E$30</definedName>
    <definedName name="_xlnm.Print_Area" localSheetId="0">'Sheet1'!$B$1:$O$189</definedName>
    <definedName name="ProjMode">'Sheet1'!#REF!</definedName>
    <definedName name="RegPmt">'Sheet1'!$E$10</definedName>
    <definedName name="RepDate">'Sheet1'!$L$14</definedName>
    <definedName name="ReqPmt">'Sheet1'!$E$10</definedName>
    <definedName name="RollDate">'Sheet1'!#REF!</definedName>
    <definedName name="SepFees">'Sheet1'!$E$12</definedName>
    <definedName name="Start">'Sheet1'!#REF!</definedName>
  </definedNames>
  <calcPr fullCalcOnLoad="1"/>
</workbook>
</file>

<file path=xl/sharedStrings.xml><?xml version="1.0" encoding="utf-8"?>
<sst xmlns="http://schemas.openxmlformats.org/spreadsheetml/2006/main" count="59" uniqueCount="53">
  <si>
    <t>Interest</t>
  </si>
  <si>
    <t>DayCount</t>
  </si>
  <si>
    <t>Principal</t>
  </si>
  <si>
    <t>Fees</t>
  </si>
  <si>
    <t>Total</t>
  </si>
  <si>
    <t>Closing</t>
  </si>
  <si>
    <t>Balance</t>
  </si>
  <si>
    <t>You can insert extra rows , so long as you copy the formula down ACROSS the region where you inserted the rows.</t>
  </si>
  <si>
    <t>Insert</t>
  </si>
  <si>
    <t>Rows</t>
  </si>
  <si>
    <t>Here</t>
  </si>
  <si>
    <t>|</t>
  </si>
  <si>
    <t>^</t>
  </si>
  <si>
    <t>v</t>
  </si>
  <si>
    <t>Anywhere</t>
  </si>
  <si>
    <t>and</t>
  </si>
  <si>
    <t>Copy</t>
  </si>
  <si>
    <t>Formulae</t>
  </si>
  <si>
    <t>Periods (mm.dd)</t>
  </si>
  <si>
    <t>Draw Date</t>
  </si>
  <si>
    <t>Number of Payments</t>
  </si>
  <si>
    <t>Interest Rate</t>
  </si>
  <si>
    <t>Outputs:</t>
  </si>
  <si>
    <t>Final Loan Balance Sought</t>
  </si>
  <si>
    <t>SubTotal</t>
  </si>
  <si>
    <t>Loan</t>
  </si>
  <si>
    <t>Payment</t>
  </si>
  <si>
    <t>Fees added to loan amount</t>
  </si>
  <si>
    <t>Fees charged separately</t>
  </si>
  <si>
    <t xml:space="preserve"> Act/365 basis</t>
  </si>
  <si>
    <t xml:space="preserve">CashFlow </t>
  </si>
  <si>
    <t>For US APR</t>
  </si>
  <si>
    <t>Final Loan Balance Calculated</t>
  </si>
  <si>
    <t>Inputs:</t>
  </si>
  <si>
    <t>if req'd</t>
  </si>
  <si>
    <t>Illustrative Cashflow</t>
  </si>
  <si>
    <t>Effective Interest Rate (AER) excl fees</t>
  </si>
  <si>
    <t>APR (US/Int'l Definition)</t>
  </si>
  <si>
    <t>APR/AER incl fees (UK Definition)</t>
  </si>
  <si>
    <t>Sensitivity</t>
  </si>
  <si>
    <t>Num Pmts</t>
  </si>
  <si>
    <t>Interest Rate per annum</t>
  </si>
  <si>
    <t>Final Repayment Date</t>
  </si>
  <si>
    <t>Note that the first interest period</t>
  </si>
  <si>
    <t>can be a PARTIAL period, as in the</t>
  </si>
  <si>
    <t>example.</t>
  </si>
  <si>
    <r>
      <t>Features:</t>
    </r>
    <r>
      <rPr>
        <sz val="7"/>
        <color indexed="23"/>
        <rFont val="Verdana"/>
        <family val="2"/>
      </rPr>
      <t xml:space="preserve">  Partial first period capability, Business Day Capability, any form of interest daycount, sensitivity matrix</t>
    </r>
  </si>
  <si>
    <t>Version 1.11</t>
  </si>
  <si>
    <t>Maximum Loan</t>
  </si>
  <si>
    <t>Repayment Per Period</t>
  </si>
  <si>
    <t>Maximum Loan :</t>
  </si>
  <si>
    <t>Maximum Mortgage Model with respect to a required (maximum) repayment</t>
  </si>
  <si>
    <r>
      <t>Without</t>
    </r>
    <r>
      <rPr>
        <b/>
        <sz val="8"/>
        <rFont val="Verdana"/>
        <family val="2"/>
      </rPr>
      <t xml:space="preserve"> Requiring GoalSeek</t>
    </r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</si>
</sst>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%\ _);\(0.00%\ \);"/>
    <numFmt numFmtId="167" formatCode="_(\ \+#,##0.00_);\ _(\ \-#,##0.00_);_(\ \+#,##0.00_)"/>
    <numFmt numFmtId="168" formatCode="_(\ #,##0\ &quot;months&quot;_);\(#,##0\ &quot;months&quot;\);"/>
    <numFmt numFmtId="169" formatCode="_(\ ###0.00_);\(###0.00\);"/>
    <numFmt numFmtId="170" formatCode="_(\ #,##0\ &quot;p.a.&quot;_);\(#,##0\ &quot;p.a.&quot;\);"/>
    <numFmt numFmtId="171" formatCode="_(\ #,##0\ &quot;periods p.a. (advance)&quot;_);\(#,##0\ &quot; periods p.a. (arrears)&quot;\);"/>
    <numFmt numFmtId="172" formatCode="_(\ #,##0\ &quot;periods p.a.&quot;_);\(#,##0\ &quot; periods p.a.&quot;\);"/>
    <numFmt numFmtId="173" formatCode="_(\ #,##0\ &quot;years&quot;_);\(#,##0\ &quot;years&quot;\);"/>
    <numFmt numFmtId="174" formatCode="_(\ ###0_);\(###0\);"/>
    <numFmt numFmtId="175" formatCode="_(\ 0.00%\ &quot;p.a.&quot;_);\(0.00%\ &quot;p.a.&quot;\);"/>
    <numFmt numFmtId="176" formatCode="#,###\ &quot;Pmts&quot;"/>
    <numFmt numFmtId="177" formatCode="_(\ #,##0.00\ &quot;years&quot;_);\(#,##0.00\ &quot;years&quot;\);"/>
    <numFmt numFmtId="178" formatCode="_(\ ####0\ _);\(###00\ \);"/>
  </numFmts>
  <fonts count="19">
    <font>
      <sz val="11"/>
      <name val="Times New Roman"/>
      <family val="0"/>
    </font>
    <font>
      <sz val="8"/>
      <name val="Times New Roman"/>
      <family val="0"/>
    </font>
    <font>
      <sz val="8"/>
      <name val="Verdana"/>
      <family val="2"/>
    </font>
    <font>
      <b/>
      <sz val="10"/>
      <name val="Verdana"/>
      <family val="2"/>
    </font>
    <font>
      <sz val="7"/>
      <color indexed="23"/>
      <name val="Verdana"/>
      <family val="2"/>
    </font>
    <font>
      <sz val="7"/>
      <name val="Verdana"/>
      <family val="2"/>
    </font>
    <font>
      <sz val="7"/>
      <color indexed="22"/>
      <name val="Verdana"/>
      <family val="2"/>
    </font>
    <font>
      <sz val="7"/>
      <color indexed="23"/>
      <name val="Times New Roman"/>
      <family val="1"/>
    </font>
    <font>
      <b/>
      <sz val="7"/>
      <color indexed="23"/>
      <name val="Times New Roman"/>
      <family val="1"/>
    </font>
    <font>
      <b/>
      <sz val="8"/>
      <name val="Verdana"/>
      <family val="2"/>
    </font>
    <font>
      <b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sz val="7"/>
      <color indexed="10"/>
      <name val="Verdana"/>
      <family val="2"/>
    </font>
    <font>
      <b/>
      <sz val="7"/>
      <color indexed="23"/>
      <name val="Verdana"/>
      <family val="2"/>
    </font>
    <font>
      <sz val="8"/>
      <color indexed="10"/>
      <name val="Verdana"/>
      <family val="2"/>
    </font>
    <font>
      <b/>
      <sz val="10"/>
      <color indexed="10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2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3" borderId="0" xfId="0" applyNumberFormat="1" applyFont="1" applyFill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9" fontId="2" fillId="2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165" fontId="2" fillId="0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4" borderId="0" xfId="0" applyFont="1" applyFill="1" applyAlignment="1">
      <alignment/>
    </xf>
    <xf numFmtId="167" fontId="2" fillId="2" borderId="4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167" fontId="2" fillId="2" borderId="6" xfId="0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Continuous"/>
    </xf>
    <xf numFmtId="164" fontId="9" fillId="0" borderId="1" xfId="0" applyNumberFormat="1" applyFont="1" applyBorder="1" applyAlignment="1">
      <alignment horizontal="centerContinuous"/>
    </xf>
    <xf numFmtId="165" fontId="9" fillId="3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175" fontId="2" fillId="2" borderId="2" xfId="0" applyNumberFormat="1" applyFont="1" applyFill="1" applyBorder="1" applyAlignment="1">
      <alignment horizontal="center"/>
    </xf>
    <xf numFmtId="176" fontId="2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/>
    </xf>
    <xf numFmtId="174" fontId="2" fillId="2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164" fontId="4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3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/>
    </xf>
    <xf numFmtId="165" fontId="2" fillId="0" borderId="0" xfId="0" applyNumberFormat="1" applyFont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9" fillId="3" borderId="0" xfId="0" applyFont="1" applyFill="1" applyBorder="1" applyAlignment="1">
      <alignment horizontal="right"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3" borderId="0" xfId="0" applyNumberFormat="1" applyFont="1" applyFill="1" applyAlignment="1">
      <alignment/>
    </xf>
    <xf numFmtId="0" fontId="1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7F3D3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22</xdr:row>
      <xdr:rowOff>104775</xdr:rowOff>
    </xdr:from>
    <xdr:to>
      <xdr:col>8</xdr:col>
      <xdr:colOff>285750</xdr:colOff>
      <xdr:row>29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371850" y="3181350"/>
          <a:ext cx="2276475" cy="952500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Interest Periods: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 Describes when interest is calculated (accrues). You may need to consult the Business Functions Help File for more information.  Basically, -12 means monthly in arrear, -4 means quarterly in arrear, etc.  You can also specify a series of values in mm.dd format, for example -3.10, -9.10 means bi-annually in arrear on 10thg March and 10th of September.</a:t>
          </a:r>
        </a:p>
      </xdr:txBody>
    </xdr:sp>
    <xdr:clientData/>
  </xdr:twoCellAnchor>
  <xdr:twoCellAnchor>
    <xdr:from>
      <xdr:col>5</xdr:col>
      <xdr:colOff>228600</xdr:colOff>
      <xdr:row>16</xdr:row>
      <xdr:rowOff>133350</xdr:rowOff>
    </xdr:from>
    <xdr:to>
      <xdr:col>8</xdr:col>
      <xdr:colOff>295275</xdr:colOff>
      <xdr:row>22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81375" y="2314575"/>
          <a:ext cx="2276475" cy="714375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DayCount: 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Describes how the bank calculates its interest. You may need to consult the Business Functions Help File for more information.  The most common options are 3 (Actual/365), 0 (30/360) and 6 (ACT/ACT in period).</a:t>
          </a:r>
        </a:p>
      </xdr:txBody>
    </xdr:sp>
    <xdr:clientData/>
  </xdr:twoCellAnchor>
  <xdr:twoCellAnchor>
    <xdr:from>
      <xdr:col>1</xdr:col>
      <xdr:colOff>133350</xdr:colOff>
      <xdr:row>22</xdr:row>
      <xdr:rowOff>123825</xdr:rowOff>
    </xdr:from>
    <xdr:to>
      <xdr:col>3</xdr:col>
      <xdr:colOff>609600</xdr:colOff>
      <xdr:row>29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81025" y="3143250"/>
          <a:ext cx="1581150" cy="933450"/>
        </a:xfrm>
        <a:prstGeom prst="rect">
          <a:avLst/>
        </a:prstGeom>
        <a:solidFill>
          <a:srgbClr val="EBEFDB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If you want to adjust for Business Days: </a:t>
          </a: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Try the following.  Insert '20' into the first spare field in the interest periods and make sure DrawDate (cell E12) is a Business Day.  Watch the spreadsheet adjust your payment days for weekends!</a:t>
          </a:r>
        </a:p>
      </xdr:txBody>
    </xdr:sp>
    <xdr:clientData/>
  </xdr:twoCellAnchor>
  <xdr:twoCellAnchor>
    <xdr:from>
      <xdr:col>9</xdr:col>
      <xdr:colOff>352425</xdr:colOff>
      <xdr:row>29</xdr:row>
      <xdr:rowOff>85725</xdr:rowOff>
    </xdr:from>
    <xdr:to>
      <xdr:col>12</xdr:col>
      <xdr:colOff>314325</xdr:colOff>
      <xdr:row>32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391275" y="4038600"/>
          <a:ext cx="2047875" cy="400050"/>
        </a:xfrm>
        <a:prstGeom prst="rect">
          <a:avLst/>
        </a:prstGeom>
        <a:solidFill>
          <a:srgbClr val="F5E8D8"/>
        </a:solidFill>
        <a:ln w="9525" cmpd="sng">
          <a:solidFill>
            <a:srgbClr val="A2A5A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A2A5A9"/>
              </a:solidFill>
              <a:latin typeface="Times New Roman"/>
              <a:ea typeface="Times New Roman"/>
              <a:cs typeface="Times New Roman"/>
            </a:rPr>
            <a:t>Note: The cashflow below is actually just a check to demonstrate the solution.  All the work is actually done in a single function call, in cell L10.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O302"/>
  <sheetViews>
    <sheetView showGridLines="0" tabSelected="1" workbookViewId="0" topLeftCell="B1">
      <selection activeCell="P53" sqref="P53"/>
    </sheetView>
  </sheetViews>
  <sheetFormatPr defaultColWidth="9.140625" defaultRowHeight="15"/>
  <cols>
    <col min="1" max="1" width="6.7109375" style="17" customWidth="1"/>
    <col min="2" max="2" width="2.57421875" style="1" customWidth="1"/>
    <col min="3" max="3" width="14.00390625" style="1" customWidth="1"/>
    <col min="4" max="4" width="12.00390625" style="1" customWidth="1"/>
    <col min="5" max="5" width="12.00390625" style="1" bestFit="1" customWidth="1"/>
    <col min="6" max="6" width="12.7109375" style="1" bestFit="1" customWidth="1"/>
    <col min="7" max="7" width="10.28125" style="1" customWidth="1"/>
    <col min="8" max="9" width="10.140625" style="1" customWidth="1"/>
    <col min="10" max="10" width="11.00390625" style="1" customWidth="1"/>
    <col min="11" max="14" width="10.140625" style="1" customWidth="1"/>
    <col min="15" max="15" width="2.00390625" style="1" customWidth="1"/>
    <col min="16" max="16384" width="9.140625" style="1" customWidth="1"/>
  </cols>
  <sheetData>
    <row r="2" spans="3:15" ht="12.75">
      <c r="C2" s="3" t="s">
        <v>51</v>
      </c>
      <c r="D2" s="3"/>
      <c r="E2" s="3"/>
      <c r="F2" s="44"/>
      <c r="G2" s="45"/>
      <c r="H2" s="3"/>
      <c r="I2" s="3"/>
      <c r="J2" s="3"/>
      <c r="K2" s="31"/>
      <c r="L2" s="32"/>
      <c r="M2" s="3"/>
      <c r="N2" s="32" t="s">
        <v>47</v>
      </c>
      <c r="O2" s="3"/>
    </row>
    <row r="3" ht="10.5">
      <c r="C3" s="58" t="s">
        <v>52</v>
      </c>
    </row>
    <row r="4" spans="3:15" ht="10.5">
      <c r="C4" s="8"/>
      <c r="L4" s="47"/>
      <c r="M4" s="48"/>
      <c r="N4" s="48"/>
      <c r="O4" s="49"/>
    </row>
    <row r="5" spans="3:15" ht="10.5">
      <c r="C5" s="8" t="s">
        <v>7</v>
      </c>
      <c r="L5" s="50"/>
      <c r="M5" s="51" t="s">
        <v>50</v>
      </c>
      <c r="N5" s="29">
        <f>LoanAmount</f>
        <v>89102.04835024611</v>
      </c>
      <c r="O5" s="52"/>
    </row>
    <row r="6" spans="3:15" ht="10.5">
      <c r="C6" s="40" t="s">
        <v>46</v>
      </c>
      <c r="L6" s="53"/>
      <c r="M6" s="54"/>
      <c r="N6" s="54"/>
      <c r="O6" s="55"/>
    </row>
    <row r="7" spans="3:15" ht="10.5"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9" spans="3:9" ht="10.5">
      <c r="C9" s="26" t="s">
        <v>33</v>
      </c>
      <c r="D9" s="26"/>
      <c r="E9" s="26"/>
      <c r="F9" s="26"/>
      <c r="G9" s="26"/>
      <c r="H9" s="26"/>
      <c r="I9" s="26" t="s">
        <v>22</v>
      </c>
    </row>
    <row r="10" spans="3:14" ht="10.5">
      <c r="C10" s="41" t="s">
        <v>49</v>
      </c>
      <c r="E10" s="10">
        <v>1000</v>
      </c>
      <c r="F10" s="43"/>
      <c r="G10" s="24"/>
      <c r="I10" s="1" t="s">
        <v>48</v>
      </c>
      <c r="L10" s="29">
        <f>_XLL.PVBF(DrawDate,NumPmts,IntRate,-RegPmt,-FinBal,DayCount,PeriodsInt)-AdvancedFees</f>
        <v>89102.04835024611</v>
      </c>
      <c r="N10" s="46"/>
    </row>
    <row r="11" spans="3:13" ht="10.5">
      <c r="C11" s="1" t="s">
        <v>27</v>
      </c>
      <c r="E11" s="10">
        <v>1000</v>
      </c>
      <c r="G11" s="8"/>
      <c r="I11" s="1" t="s">
        <v>36</v>
      </c>
      <c r="L11" s="56">
        <f>_XLL.IRRT(Dates,LoanPmts,,,,3)</f>
        <v>0.061677868430941606</v>
      </c>
      <c r="M11" s="24" t="s">
        <v>29</v>
      </c>
    </row>
    <row r="12" spans="3:13" ht="10.5">
      <c r="C12" s="1" t="s">
        <v>28</v>
      </c>
      <c r="E12" s="10">
        <v>1000</v>
      </c>
      <c r="I12" s="1" t="s">
        <v>38</v>
      </c>
      <c r="L12" s="56">
        <f>_XLL.IRRT(Dates,cashFlows,,,,3)</f>
        <v>0.06696356757404959</v>
      </c>
      <c r="M12" s="24" t="s">
        <v>29</v>
      </c>
    </row>
    <row r="13" spans="3:13" ht="10.5">
      <c r="C13" s="1" t="s">
        <v>19</v>
      </c>
      <c r="E13" s="9">
        <v>38355</v>
      </c>
      <c r="F13" s="37">
        <f>IF(_XLL.ISBD(DrawDate,ABS(MAX(PeriodsInt)))=FALSE,"Error - must be a Business Day","")</f>
      </c>
      <c r="I13" s="1" t="s">
        <v>37</v>
      </c>
      <c r="L13" s="57">
        <f>IRR(M38:M188,L12/M13)*M13</f>
        <v>0.06746826312566491</v>
      </c>
      <c r="M13" s="25">
        <f>_XLL.NUMPERS(PeriodsInt)</f>
        <v>12</v>
      </c>
    </row>
    <row r="14" spans="3:13" ht="10.5">
      <c r="C14" s="1" t="s">
        <v>20</v>
      </c>
      <c r="E14" s="34">
        <f>10*12</f>
        <v>120</v>
      </c>
      <c r="F14" s="35">
        <f>NumPmts/_XLL.NUMPERS(PeriodsInt)</f>
        <v>10</v>
      </c>
      <c r="I14" s="1" t="s">
        <v>42</v>
      </c>
      <c r="L14" s="23">
        <f>_XLL.DPP(FirstPmtDate,NumPmts-1,PeriodsInt)</f>
        <v>42005</v>
      </c>
      <c r="M14" s="8" t="str">
        <f>" "&amp;_XLL.DAYNAME(RepDate)</f>
        <v> Thursday</v>
      </c>
    </row>
    <row r="15" spans="3:13" ht="10.5">
      <c r="C15" s="1" t="s">
        <v>41</v>
      </c>
      <c r="E15" s="33">
        <v>0.06</v>
      </c>
      <c r="I15" s="1" t="s">
        <v>32</v>
      </c>
      <c r="L15" s="11">
        <f>_XLL.LOOKUPNUM(Dates,CloseBals,RepDate)</f>
        <v>7.947846825118177E-10</v>
      </c>
      <c r="M15" s="37">
        <f>IF(ABS(L15-FinBal)&gt;=0.5,"Calculation Error - Final Balance not correct.","")</f>
      </c>
    </row>
    <row r="16" spans="3:5" ht="10.5">
      <c r="C16" s="1" t="s">
        <v>23</v>
      </c>
      <c r="E16" s="10">
        <v>0</v>
      </c>
    </row>
    <row r="18" spans="10:11" ht="10.5">
      <c r="J18" s="26" t="s">
        <v>39</v>
      </c>
      <c r="K18" s="1" t="s">
        <v>21</v>
      </c>
    </row>
    <row r="19" spans="3:15" ht="10.5">
      <c r="C19" s="1" t="s">
        <v>1</v>
      </c>
      <c r="E19" s="13">
        <v>3</v>
      </c>
      <c r="J19" s="1" t="s">
        <v>40</v>
      </c>
      <c r="K19" s="30">
        <v>0.05</v>
      </c>
      <c r="L19" s="30">
        <f>K19+1%</f>
        <v>0.060000000000000005</v>
      </c>
      <c r="M19" s="30">
        <f>L19+1%</f>
        <v>0.07</v>
      </c>
      <c r="N19" s="30">
        <f>M19+1%</f>
        <v>0.08</v>
      </c>
      <c r="O19" s="5"/>
    </row>
    <row r="20" spans="5:15" ht="10.5">
      <c r="E20" s="8" t="str">
        <f>_XLL.DESCRIBEDAYCOUNT(E19)</f>
        <v>Actual Days/365.</v>
      </c>
      <c r="F20" s="8"/>
      <c r="J20" s="36">
        <f>5*12</f>
        <v>60</v>
      </c>
      <c r="K20" s="42">
        <f>_XLL.PVBF(DrawDate,$J20,K$19,-RegPmt,-FinBal,DayCount,PeriodsInt)-AdvancedFees</f>
        <v>52008.36650884311</v>
      </c>
      <c r="L20" s="42">
        <f>_XLL.PVBF(DrawDate,$J20,L$19,-RegPmt,-FinBal,DayCount,PeriodsInt)-AdvancedFees</f>
        <v>50746.28747935064</v>
      </c>
      <c r="M20" s="42">
        <f>_XLL.PVBF(DrawDate,$J20,M$19,-RegPmt,-FinBal,DayCount,PeriodsInt)-AdvancedFees</f>
        <v>49525.64826644834</v>
      </c>
      <c r="N20" s="42">
        <f>_XLL.PVBF(DrawDate,$J20,N$19,-RegPmt,-FinBal,DayCount,PeriodsInt)-AdvancedFees</f>
        <v>48344.884085034246</v>
      </c>
      <c r="O20" s="5"/>
    </row>
    <row r="21" spans="5:15" ht="10.5">
      <c r="E21" s="8"/>
      <c r="F21" s="8"/>
      <c r="J21" s="36">
        <f>J20+60</f>
        <v>120</v>
      </c>
      <c r="K21" s="42">
        <f>_XLL.PVBF(DrawDate,$J21,K$19,-RegPmt,-FinBal,DayCount,PeriodsInt)-AdvancedFees</f>
        <v>93306.03322422944</v>
      </c>
      <c r="L21" s="42">
        <f>_XLL.PVBF(DrawDate,$J21,L$19,-RegPmt,-FinBal,DayCount,PeriodsInt)-AdvancedFees</f>
        <v>89102.04835024611</v>
      </c>
      <c r="M21" s="42">
        <f>_XLL.PVBF(DrawDate,$J21,M$19,-RegPmt,-FinBal,DayCount,PeriodsInt)-AdvancedFees</f>
        <v>85158.58163504068</v>
      </c>
      <c r="N21" s="42">
        <f>_XLL.PVBF(DrawDate,$J21,N$19,-RegPmt,-FinBal,DayCount,PeriodsInt)-AdvancedFees</f>
        <v>81457.08328297235</v>
      </c>
      <c r="O21" s="5"/>
    </row>
    <row r="22" spans="5:15" ht="10.5">
      <c r="E22" s="5" t="s">
        <v>0</v>
      </c>
      <c r="J22" s="36">
        <f>J21+60</f>
        <v>180</v>
      </c>
      <c r="K22" s="42">
        <f>_XLL.PVBF(DrawDate,$J22,K$19,-RegPmt,-FinBal,DayCount,PeriodsInt)-AdvancedFees</f>
        <v>125480.10350049</v>
      </c>
      <c r="L22" s="42">
        <f>_XLL.PVBF(DrawDate,$J22,L$19,-RegPmt,-FinBal,DayCount,PeriodsInt)-AdvancedFees</f>
        <v>117532.32843505488</v>
      </c>
      <c r="M22" s="42">
        <f>_XLL.PVBF(DrawDate,$J22,M$19,-RegPmt,-FinBal,DayCount,PeriodsInt)-AdvancedFees</f>
        <v>110288.44177128421</v>
      </c>
      <c r="N22" s="42">
        <f>_XLL.PVBF(DrawDate,$J22,N$19,-RegPmt,-FinBal,DayCount,PeriodsInt)-AdvancedFees</f>
        <v>103676.48536767134</v>
      </c>
      <c r="O22" s="5"/>
    </row>
    <row r="23" spans="5:15" ht="10.5">
      <c r="E23" s="5" t="s">
        <v>18</v>
      </c>
      <c r="J23" s="36">
        <f>J22+60</f>
        <v>240</v>
      </c>
      <c r="K23" s="42">
        <f>_XLL.PVBF(DrawDate,$J23,K$19,-RegPmt,-FinBal,DayCount,PeriodsInt)-AdvancedFees</f>
        <v>150545.58641792828</v>
      </c>
      <c r="L23" s="42">
        <f>_XLL.PVBF(DrawDate,$J23,L$19,-RegPmt,-FinBal,DayCount,PeriodsInt)-AdvancedFees</f>
        <v>138604.9837779501</v>
      </c>
      <c r="M23" s="42">
        <f>_XLL.PVBF(DrawDate,$J23,M$19,-RegPmt,-FinBal,DayCount,PeriodsInt)-AdvancedFees</f>
        <v>128010.50130782997</v>
      </c>
      <c r="N23" s="42">
        <f>_XLL.PVBF(DrawDate,$J23,N$19,-RegPmt,-FinBal,DayCount,PeriodsInt)-AdvancedFees</f>
        <v>118585.89296743658</v>
      </c>
      <c r="O23" s="5"/>
    </row>
    <row r="24" spans="5:15" ht="10.5">
      <c r="E24" s="20">
        <v>-12</v>
      </c>
      <c r="J24" s="36">
        <f>J23+60</f>
        <v>300</v>
      </c>
      <c r="K24" s="42">
        <f>_XLL.PVBF(DrawDate,$J24,K$19,-RegPmt,-FinBal,DayCount,PeriodsInt)-AdvancedFees</f>
        <v>170073.5353077447</v>
      </c>
      <c r="L24" s="42">
        <f>_XLL.PVBF(DrawDate,$J24,L$19,-RegPmt,-FinBal,DayCount,PeriodsInt)-AdvancedFees</f>
        <v>154224.591467316</v>
      </c>
      <c r="M24" s="42">
        <f>_XLL.PVBF(DrawDate,$J24,M$19,-RegPmt,-FinBal,DayCount,PeriodsInt)-AdvancedFees</f>
        <v>140508.8704530171</v>
      </c>
      <c r="N24" s="42">
        <f>_XLL.PVBF(DrawDate,$J24,N$19,-RegPmt,-FinBal,DayCount,PeriodsInt)-AdvancedFees</f>
        <v>128590.63298601696</v>
      </c>
      <c r="O24" s="5"/>
    </row>
    <row r="25" spans="5:10" ht="10.5">
      <c r="E25" s="21"/>
      <c r="J25" s="5"/>
    </row>
    <row r="26" spans="1:5" ht="10.5">
      <c r="A26" s="18" t="s">
        <v>8</v>
      </c>
      <c r="E26" s="21"/>
    </row>
    <row r="27" spans="1:10" ht="10.5">
      <c r="A27" s="18" t="s">
        <v>9</v>
      </c>
      <c r="E27" s="21"/>
      <c r="J27" s="5"/>
    </row>
    <row r="28" spans="1:5" ht="10.5">
      <c r="A28" s="18" t="s">
        <v>10</v>
      </c>
      <c r="E28" s="21"/>
    </row>
    <row r="29" spans="1:5" ht="10.5">
      <c r="A29" s="18" t="s">
        <v>34</v>
      </c>
      <c r="E29" s="21"/>
    </row>
    <row r="30" ht="10.5">
      <c r="E30" s="22"/>
    </row>
    <row r="31" spans="1:7" ht="10.5">
      <c r="A31" s="19"/>
      <c r="C31" s="6"/>
      <c r="D31" s="7"/>
      <c r="E31" s="8" t="str">
        <f>_XLL.DESCRIBEPERIODS(PeriodsInt)</f>
        <v> in arrear, monthly (1 Jan payment of Dec accrual, etc) </v>
      </c>
      <c r="F31" s="6"/>
      <c r="G31" s="6"/>
    </row>
    <row r="32" spans="1:7" ht="10.5">
      <c r="A32" s="19"/>
      <c r="G32" s="6"/>
    </row>
    <row r="33" spans="1:7" ht="10.5">
      <c r="A33" s="19"/>
      <c r="G33" s="6"/>
    </row>
    <row r="34" spans="1:9" ht="10.5">
      <c r="A34" s="19"/>
      <c r="E34" s="27" t="s">
        <v>35</v>
      </c>
      <c r="F34" s="27"/>
      <c r="G34" s="28"/>
      <c r="H34" s="27"/>
      <c r="I34" s="27"/>
    </row>
    <row r="35" spans="3:13" ht="10.5">
      <c r="C35" s="38" t="s">
        <v>43</v>
      </c>
      <c r="D35" s="7"/>
      <c r="F35" s="6"/>
      <c r="G35" s="5" t="s">
        <v>24</v>
      </c>
      <c r="H35" s="7"/>
      <c r="K35" s="5" t="s">
        <v>5</v>
      </c>
      <c r="M35" s="5" t="s">
        <v>30</v>
      </c>
    </row>
    <row r="36" spans="3:14" ht="10.5">
      <c r="C36" s="39" t="s">
        <v>44</v>
      </c>
      <c r="E36" s="7" t="s">
        <v>0</v>
      </c>
      <c r="F36" s="5" t="s">
        <v>2</v>
      </c>
      <c r="G36" s="5" t="s">
        <v>25</v>
      </c>
      <c r="H36" s="7" t="s">
        <v>3</v>
      </c>
      <c r="I36" s="5" t="s">
        <v>4</v>
      </c>
      <c r="J36" s="5"/>
      <c r="K36" s="5" t="s">
        <v>6</v>
      </c>
      <c r="L36" s="5"/>
      <c r="M36" s="5" t="s">
        <v>31</v>
      </c>
      <c r="N36" s="5"/>
    </row>
    <row r="37" spans="3:14" ht="10.5">
      <c r="C37" s="38" t="s">
        <v>45</v>
      </c>
      <c r="D37" s="7"/>
      <c r="E37" s="5"/>
      <c r="F37" s="6"/>
      <c r="G37" s="5" t="s">
        <v>26</v>
      </c>
      <c r="H37" s="7"/>
      <c r="I37" s="5"/>
      <c r="J37" s="5"/>
      <c r="K37" s="7">
        <v>0</v>
      </c>
      <c r="L37" s="5"/>
      <c r="M37" s="5"/>
      <c r="N37" s="5"/>
    </row>
    <row r="38" spans="3:14" ht="10.5">
      <c r="C38" s="4">
        <f>DrawDate</f>
        <v>38355</v>
      </c>
      <c r="E38" s="11">
        <f>-_XLL.CON(C38,C39,DrawDate,RepDate,IntRate*SUM(K36),DayCount,PeriodsInt,1)</f>
        <v>0</v>
      </c>
      <c r="F38" s="11">
        <f>G38-E38</f>
        <v>90102.04835024611</v>
      </c>
      <c r="G38" s="15">
        <f>LoanAmount+AdvancedFees</f>
        <v>90102.04835024611</v>
      </c>
      <c r="H38" s="11">
        <f>-AdvancedFees-SepFees</f>
        <v>-2000</v>
      </c>
      <c r="I38" s="12">
        <f>SUM(G38:H38)</f>
        <v>88102.04835024611</v>
      </c>
      <c r="J38" s="5"/>
      <c r="K38" s="15">
        <f>K37+F38</f>
        <v>90102.04835024611</v>
      </c>
      <c r="L38" s="5"/>
      <c r="M38" s="7">
        <f>LoanAmount-AdvancedFees-SepFees</f>
        <v>87102.04835024611</v>
      </c>
      <c r="N38" s="15"/>
    </row>
    <row r="39" spans="3:14" ht="10.5">
      <c r="C39" s="4">
        <f>_XLL.NEXTDATESEQ(C38,PeriodsInt)</f>
        <v>38384</v>
      </c>
      <c r="E39" s="11">
        <f>-_XLL.CON(C39,C40,DrawDate,RepDate,IntRate*SUM(K38),DayCount,PeriodsInt,1)</f>
        <v>-429.52757295733755</v>
      </c>
      <c r="F39" s="11">
        <f>G39-E39</f>
        <v>-570.4724270426625</v>
      </c>
      <c r="G39" s="15">
        <f aca="true" t="shared" si="0" ref="G39:G70">-RegPmt*($C39&lt;=RepDate)</f>
        <v>-1000</v>
      </c>
      <c r="H39" s="11"/>
      <c r="I39" s="12">
        <f aca="true" t="shared" si="1" ref="I39:I102">SUM(G39:H39)</f>
        <v>-1000</v>
      </c>
      <c r="J39" s="5"/>
      <c r="K39" s="15">
        <f aca="true" t="shared" si="2" ref="K39:K102">K38+F39</f>
        <v>89531.57592320345</v>
      </c>
      <c r="L39" s="5"/>
      <c r="M39" s="7">
        <f>I39</f>
        <v>-1000</v>
      </c>
      <c r="N39" s="15"/>
    </row>
    <row r="40" spans="3:14" ht="10.5">
      <c r="C40" s="4">
        <f>_XLL.NEXTDATESEQ(C39,PeriodsInt)</f>
        <v>38412</v>
      </c>
      <c r="E40" s="11">
        <f>-_XLL.CON(C40,C41,DrawDate,RepDate,IntRate*SUM(K39),DayCount,PeriodsInt,1)</f>
        <v>-412.09054123556655</v>
      </c>
      <c r="F40" s="11">
        <f aca="true" t="shared" si="3" ref="F40:F103">G40-E40</f>
        <v>-587.9094587644335</v>
      </c>
      <c r="G40" s="15">
        <f t="shared" si="0"/>
        <v>-1000</v>
      </c>
      <c r="H40" s="11"/>
      <c r="I40" s="12">
        <f t="shared" si="1"/>
        <v>-1000</v>
      </c>
      <c r="J40" s="5"/>
      <c r="K40" s="15">
        <f t="shared" si="2"/>
        <v>88943.66646443901</v>
      </c>
      <c r="L40" s="5"/>
      <c r="M40" s="7">
        <f aca="true" t="shared" si="4" ref="M40:M103">I40</f>
        <v>-1000</v>
      </c>
      <c r="N40" s="15"/>
    </row>
    <row r="41" spans="3:14" ht="10.5">
      <c r="C41" s="4">
        <f>_XLL.NEXTDATESEQ(C40,PeriodsInt)</f>
        <v>38443</v>
      </c>
      <c r="E41" s="11">
        <f>-_XLL.CON(C41,C42,DrawDate,RepDate,IntRate*SUM(K40),DayCount,PeriodsInt,1)</f>
        <v>-453.24717705166177</v>
      </c>
      <c r="F41" s="11">
        <f t="shared" si="3"/>
        <v>-546.7528229483382</v>
      </c>
      <c r="G41" s="15">
        <f t="shared" si="0"/>
        <v>-1000</v>
      </c>
      <c r="H41" s="11"/>
      <c r="I41" s="12">
        <f t="shared" si="1"/>
        <v>-1000</v>
      </c>
      <c r="J41" s="5"/>
      <c r="K41" s="15">
        <f t="shared" si="2"/>
        <v>88396.91364149067</v>
      </c>
      <c r="L41" s="5"/>
      <c r="M41" s="7">
        <f t="shared" si="4"/>
        <v>-1000</v>
      </c>
      <c r="N41" s="15"/>
    </row>
    <row r="42" spans="3:14" ht="10.5">
      <c r="C42" s="4">
        <f>_XLL.NEXTDATESEQ(C41,PeriodsInt)</f>
        <v>38473</v>
      </c>
      <c r="E42" s="11">
        <f>-_XLL.CON(C42,C43,DrawDate,RepDate,IntRate*SUM(K41),DayCount,PeriodsInt,1)</f>
        <v>-435.9299850813238</v>
      </c>
      <c r="F42" s="11">
        <f t="shared" si="3"/>
        <v>-564.0700149186762</v>
      </c>
      <c r="G42" s="15">
        <f t="shared" si="0"/>
        <v>-1000</v>
      </c>
      <c r="H42" s="11"/>
      <c r="I42" s="12">
        <f t="shared" si="1"/>
        <v>-1000</v>
      </c>
      <c r="J42" s="5"/>
      <c r="K42" s="15">
        <f t="shared" si="2"/>
        <v>87832.843626572</v>
      </c>
      <c r="L42" s="5"/>
      <c r="M42" s="7">
        <f t="shared" si="4"/>
        <v>-1000</v>
      </c>
      <c r="N42" s="15"/>
    </row>
    <row r="43" spans="3:14" ht="10.5">
      <c r="C43" s="4">
        <f>_XLL.NEXTDATESEQ(C42,PeriodsInt)</f>
        <v>38504</v>
      </c>
      <c r="E43" s="11">
        <f>-_XLL.CON(C43,C44,DrawDate,RepDate,IntRate*SUM(K42),DayCount,PeriodsInt,1)</f>
        <v>-447.5865456039011</v>
      </c>
      <c r="F43" s="11">
        <f t="shared" si="3"/>
        <v>-552.4134543960989</v>
      </c>
      <c r="G43" s="15">
        <f t="shared" si="0"/>
        <v>-1000</v>
      </c>
      <c r="H43" s="11"/>
      <c r="I43" s="12">
        <f t="shared" si="1"/>
        <v>-1000</v>
      </c>
      <c r="J43" s="5"/>
      <c r="K43" s="15">
        <f t="shared" si="2"/>
        <v>87280.4301721759</v>
      </c>
      <c r="L43" s="5"/>
      <c r="M43" s="7">
        <f t="shared" si="4"/>
        <v>-1000</v>
      </c>
      <c r="N43" s="15"/>
    </row>
    <row r="44" spans="3:14" ht="10.5">
      <c r="C44" s="4">
        <f>_XLL.NEXTDATESEQ(C43,PeriodsInt)</f>
        <v>38534</v>
      </c>
      <c r="E44" s="11">
        <f>-_XLL.CON(C44,C45,DrawDate,RepDate,IntRate*SUM(K43),DayCount,PeriodsInt,1)</f>
        <v>-430.42403920525095</v>
      </c>
      <c r="F44" s="11">
        <f t="shared" si="3"/>
        <v>-569.5759607947491</v>
      </c>
      <c r="G44" s="15">
        <f t="shared" si="0"/>
        <v>-1000</v>
      </c>
      <c r="H44" s="11"/>
      <c r="I44" s="12">
        <f t="shared" si="1"/>
        <v>-1000</v>
      </c>
      <c r="J44" s="5"/>
      <c r="K44" s="15">
        <f t="shared" si="2"/>
        <v>86710.85421138114</v>
      </c>
      <c r="L44" s="5"/>
      <c r="M44" s="7">
        <f t="shared" si="4"/>
        <v>-1000</v>
      </c>
      <c r="N44" s="15"/>
    </row>
    <row r="45" spans="3:14" ht="10.5">
      <c r="C45" s="4">
        <f>_XLL.NEXTDATESEQ(C44,PeriodsInt)</f>
        <v>38565</v>
      </c>
      <c r="E45" s="11">
        <f>-_XLL.CON(C45,C46,DrawDate,RepDate,IntRate*SUM(K44),DayCount,PeriodsInt,1)</f>
        <v>-441.86901050183263</v>
      </c>
      <c r="F45" s="11">
        <f t="shared" si="3"/>
        <v>-558.1309894981673</v>
      </c>
      <c r="G45" s="15">
        <f t="shared" si="0"/>
        <v>-1000</v>
      </c>
      <c r="H45" s="11"/>
      <c r="I45" s="12">
        <f t="shared" si="1"/>
        <v>-1000</v>
      </c>
      <c r="J45" s="5"/>
      <c r="K45" s="15">
        <f t="shared" si="2"/>
        <v>86152.72322188297</v>
      </c>
      <c r="L45" s="5"/>
      <c r="M45" s="7">
        <f t="shared" si="4"/>
        <v>-1000</v>
      </c>
      <c r="N45" s="15"/>
    </row>
    <row r="46" spans="3:14" ht="10.5">
      <c r="C46" s="4">
        <f>_XLL.NEXTDATESEQ(C45,PeriodsInt)</f>
        <v>38596</v>
      </c>
      <c r="E46" s="11">
        <f>-_XLL.CON(C46,C47,DrawDate,RepDate,IntRate*SUM(K45),DayCount,PeriodsInt,1)</f>
        <v>-439.0248361443899</v>
      </c>
      <c r="F46" s="11">
        <f t="shared" si="3"/>
        <v>-560.9751638556102</v>
      </c>
      <c r="G46" s="15">
        <f t="shared" si="0"/>
        <v>-1000</v>
      </c>
      <c r="H46" s="11"/>
      <c r="I46" s="12">
        <f t="shared" si="1"/>
        <v>-1000</v>
      </c>
      <c r="J46" s="5"/>
      <c r="K46" s="15">
        <f t="shared" si="2"/>
        <v>85591.74805802737</v>
      </c>
      <c r="L46" s="5"/>
      <c r="M46" s="7">
        <f t="shared" si="4"/>
        <v>-1000</v>
      </c>
      <c r="N46" s="15"/>
    </row>
    <row r="47" spans="3:14" ht="10.5">
      <c r="C47" s="4">
        <f>_XLL.NEXTDATESEQ(C46,PeriodsInt)</f>
        <v>38626</v>
      </c>
      <c r="E47" s="11">
        <f>-_XLL.CON(C47,C48,DrawDate,RepDate,IntRate*SUM(K46),DayCount,PeriodsInt,1)</f>
        <v>-422.09629179301163</v>
      </c>
      <c r="F47" s="11">
        <f t="shared" si="3"/>
        <v>-577.9037082069883</v>
      </c>
      <c r="G47" s="15">
        <f t="shared" si="0"/>
        <v>-1000</v>
      </c>
      <c r="H47" s="11"/>
      <c r="I47" s="12">
        <f t="shared" si="1"/>
        <v>-1000</v>
      </c>
      <c r="J47" s="5"/>
      <c r="K47" s="15">
        <f t="shared" si="2"/>
        <v>85013.84434982039</v>
      </c>
      <c r="L47" s="5"/>
      <c r="M47" s="7">
        <f t="shared" si="4"/>
        <v>-1000</v>
      </c>
      <c r="N47" s="15"/>
    </row>
    <row r="48" spans="3:14" ht="10.5">
      <c r="C48" s="4">
        <f>_XLL.NEXTDATESEQ(C47,PeriodsInt)</f>
        <v>38657</v>
      </c>
      <c r="E48" s="11">
        <f>-_XLL.CON(C48,C49,DrawDate,RepDate,IntRate*SUM(K47),DayCount,PeriodsInt,1)</f>
        <v>-433.22123422100253</v>
      </c>
      <c r="F48" s="11">
        <f t="shared" si="3"/>
        <v>-566.7787657789975</v>
      </c>
      <c r="G48" s="15">
        <f t="shared" si="0"/>
        <v>-1000</v>
      </c>
      <c r="H48" s="11"/>
      <c r="I48" s="12">
        <f t="shared" si="1"/>
        <v>-1000</v>
      </c>
      <c r="J48" s="5"/>
      <c r="K48" s="15">
        <f t="shared" si="2"/>
        <v>84447.06558404138</v>
      </c>
      <c r="L48" s="5"/>
      <c r="M48" s="7">
        <f t="shared" si="4"/>
        <v>-1000</v>
      </c>
      <c r="N48" s="15"/>
    </row>
    <row r="49" spans="3:14" ht="10.5">
      <c r="C49" s="4">
        <f>_XLL.NEXTDATESEQ(C48,PeriodsInt)</f>
        <v>38687</v>
      </c>
      <c r="E49" s="11">
        <f>-_XLL.CON(C49,C50,DrawDate,RepDate,IntRate*SUM(K48),DayCount,PeriodsInt,1)</f>
        <v>-416.4512823322588</v>
      </c>
      <c r="F49" s="11">
        <f t="shared" si="3"/>
        <v>-583.5487176677411</v>
      </c>
      <c r="G49" s="15">
        <f t="shared" si="0"/>
        <v>-1000</v>
      </c>
      <c r="H49" s="11"/>
      <c r="I49" s="12">
        <f t="shared" si="1"/>
        <v>-1000</v>
      </c>
      <c r="J49" s="5"/>
      <c r="K49" s="15">
        <f t="shared" si="2"/>
        <v>83863.51686637364</v>
      </c>
      <c r="L49" s="5"/>
      <c r="M49" s="7">
        <f t="shared" si="4"/>
        <v>-1000</v>
      </c>
      <c r="N49" s="15"/>
    </row>
    <row r="50" spans="1:14" ht="10.5">
      <c r="A50" s="16"/>
      <c r="C50" s="4">
        <f>_XLL.NEXTDATESEQ(C49,PeriodsInt)</f>
        <v>38718</v>
      </c>
      <c r="E50" s="11">
        <f>-_XLL.CON(C50,C51,DrawDate,RepDate,IntRate*SUM(K49),DayCount,PeriodsInt,1)</f>
        <v>-427.35929142864376</v>
      </c>
      <c r="F50" s="11">
        <f t="shared" si="3"/>
        <v>-572.6407085713563</v>
      </c>
      <c r="G50" s="15">
        <f t="shared" si="0"/>
        <v>-1000</v>
      </c>
      <c r="H50" s="11"/>
      <c r="I50" s="12">
        <f t="shared" si="1"/>
        <v>-1000</v>
      </c>
      <c r="J50" s="5"/>
      <c r="K50" s="15">
        <f t="shared" si="2"/>
        <v>83290.87615780228</v>
      </c>
      <c r="L50" s="5"/>
      <c r="M50" s="7">
        <f t="shared" si="4"/>
        <v>-1000</v>
      </c>
      <c r="N50" s="15"/>
    </row>
    <row r="51" spans="1:14" ht="10.5">
      <c r="A51" s="16" t="s">
        <v>12</v>
      </c>
      <c r="C51" s="4">
        <f>_XLL.NEXTDATESEQ(C50,PeriodsInt)</f>
        <v>38749</v>
      </c>
      <c r="E51" s="11">
        <f>-_XLL.CON(C51,C52,DrawDate,RepDate,IntRate*SUM(K50),DayCount,PeriodsInt,1)</f>
        <v>-424.44117713291024</v>
      </c>
      <c r="F51" s="11">
        <f t="shared" si="3"/>
        <v>-575.5588228670897</v>
      </c>
      <c r="G51" s="15">
        <f t="shared" si="0"/>
        <v>-1000</v>
      </c>
      <c r="H51" s="11"/>
      <c r="I51" s="12">
        <f t="shared" si="1"/>
        <v>-1000</v>
      </c>
      <c r="J51" s="5"/>
      <c r="K51" s="15">
        <f t="shared" si="2"/>
        <v>82715.31733493519</v>
      </c>
      <c r="L51" s="5"/>
      <c r="M51" s="7">
        <f t="shared" si="4"/>
        <v>-1000</v>
      </c>
      <c r="N51" s="15"/>
    </row>
    <row r="52" spans="1:14" ht="10.5">
      <c r="A52" s="16" t="s">
        <v>11</v>
      </c>
      <c r="C52" s="4">
        <f>_XLL.NEXTDATESEQ(C51,PeriodsInt)</f>
        <v>38777</v>
      </c>
      <c r="E52" s="11">
        <f>-_XLL.CON(C52,C53,DrawDate,RepDate,IntRate*SUM(K51),DayCount,PeriodsInt,1)</f>
        <v>-380.71707704846875</v>
      </c>
      <c r="F52" s="11">
        <f t="shared" si="3"/>
        <v>-619.2829229515312</v>
      </c>
      <c r="G52" s="15">
        <f t="shared" si="0"/>
        <v>-1000</v>
      </c>
      <c r="H52" s="11"/>
      <c r="I52" s="12">
        <f t="shared" si="1"/>
        <v>-1000</v>
      </c>
      <c r="J52" s="5"/>
      <c r="K52" s="15">
        <f t="shared" si="2"/>
        <v>82096.03441198365</v>
      </c>
      <c r="L52" s="5"/>
      <c r="M52" s="7">
        <f t="shared" si="4"/>
        <v>-1000</v>
      </c>
      <c r="N52" s="15"/>
    </row>
    <row r="53" spans="1:14" ht="10.5">
      <c r="A53" s="17" t="s">
        <v>8</v>
      </c>
      <c r="C53" s="4">
        <f>_XLL.NEXTDATESEQ(C52,PeriodsInt)</f>
        <v>38808</v>
      </c>
      <c r="E53" s="11">
        <f>-_XLL.CON(C53,C54,DrawDate,RepDate,IntRate*SUM(K52),DayCount,PeriodsInt,1)</f>
        <v>-418.3523945377797</v>
      </c>
      <c r="F53" s="11">
        <f t="shared" si="3"/>
        <v>-581.6476054622203</v>
      </c>
      <c r="G53" s="15">
        <f t="shared" si="0"/>
        <v>-1000</v>
      </c>
      <c r="H53" s="11"/>
      <c r="I53" s="12">
        <f t="shared" si="1"/>
        <v>-1000</v>
      </c>
      <c r="J53" s="5"/>
      <c r="K53" s="15">
        <f t="shared" si="2"/>
        <v>81514.38680652143</v>
      </c>
      <c r="L53" s="5"/>
      <c r="M53" s="7">
        <f t="shared" si="4"/>
        <v>-1000</v>
      </c>
      <c r="N53" s="15"/>
    </row>
    <row r="54" spans="1:14" ht="10.5">
      <c r="A54" s="17" t="s">
        <v>9</v>
      </c>
      <c r="C54" s="4">
        <f>_XLL.NEXTDATESEQ(C53,PeriodsInt)</f>
        <v>38838</v>
      </c>
      <c r="E54" s="11">
        <f>-_XLL.CON(C54,C55,DrawDate,RepDate,IntRate*SUM(K53),DayCount,PeriodsInt,1)</f>
        <v>-401.9887568540783</v>
      </c>
      <c r="F54" s="11">
        <f t="shared" si="3"/>
        <v>-598.0112431459218</v>
      </c>
      <c r="G54" s="15">
        <f t="shared" si="0"/>
        <v>-1000</v>
      </c>
      <c r="H54" s="11"/>
      <c r="I54" s="12">
        <f t="shared" si="1"/>
        <v>-1000</v>
      </c>
      <c r="J54" s="5"/>
      <c r="K54" s="15">
        <f t="shared" si="2"/>
        <v>80916.3755633755</v>
      </c>
      <c r="L54" s="5"/>
      <c r="M54" s="7">
        <f t="shared" si="4"/>
        <v>-1000</v>
      </c>
      <c r="N54" s="15"/>
    </row>
    <row r="55" spans="1:14" ht="10.5">
      <c r="A55" s="17" t="s">
        <v>14</v>
      </c>
      <c r="C55" s="4">
        <f>_XLL.NEXTDATESEQ(C54,PeriodsInt)</f>
        <v>38869</v>
      </c>
      <c r="E55" s="11">
        <f>-_XLL.CON(C55,C56,DrawDate,RepDate,IntRate*SUM(K54),DayCount,PeriodsInt,1)</f>
        <v>-412.34098232295463</v>
      </c>
      <c r="F55" s="11">
        <f t="shared" si="3"/>
        <v>-587.6590176770453</v>
      </c>
      <c r="G55" s="15">
        <f t="shared" si="0"/>
        <v>-1000</v>
      </c>
      <c r="H55" s="11"/>
      <c r="I55" s="12">
        <f t="shared" si="1"/>
        <v>-1000</v>
      </c>
      <c r="J55" s="5"/>
      <c r="K55" s="15">
        <f t="shared" si="2"/>
        <v>80328.71654569847</v>
      </c>
      <c r="L55" s="5"/>
      <c r="M55" s="7">
        <f t="shared" si="4"/>
        <v>-1000</v>
      </c>
      <c r="N55" s="15"/>
    </row>
    <row r="56" spans="1:14" ht="10.5">
      <c r="A56" s="17" t="s">
        <v>10</v>
      </c>
      <c r="C56" s="4">
        <f>_XLL.NEXTDATESEQ(C55,PeriodsInt)</f>
        <v>38899</v>
      </c>
      <c r="E56" s="11">
        <f>-_XLL.CON(C56,C57,DrawDate,RepDate,IntRate*SUM(K55),DayCount,PeriodsInt,1)</f>
        <v>-396.1416158418006</v>
      </c>
      <c r="F56" s="11">
        <f t="shared" si="3"/>
        <v>-603.8583841581994</v>
      </c>
      <c r="G56" s="15">
        <f t="shared" si="0"/>
        <v>-1000</v>
      </c>
      <c r="H56" s="11"/>
      <c r="I56" s="12">
        <f t="shared" si="1"/>
        <v>-1000</v>
      </c>
      <c r="J56" s="5"/>
      <c r="K56" s="15">
        <f t="shared" si="2"/>
        <v>79724.85816154027</v>
      </c>
      <c r="L56" s="5"/>
      <c r="M56" s="7">
        <f t="shared" si="4"/>
        <v>-1000</v>
      </c>
      <c r="N56" s="15"/>
    </row>
    <row r="57" spans="1:14" ht="10.5">
      <c r="A57" s="17" t="s">
        <v>15</v>
      </c>
      <c r="C57" s="4">
        <f>_XLL.NEXTDATESEQ(C56,PeriodsInt)</f>
        <v>38930</v>
      </c>
      <c r="E57" s="11">
        <f>-_XLL.CON(C57,C58,DrawDate,RepDate,IntRate*SUM(K56),DayCount,PeriodsInt,1)</f>
        <v>-406.26914022045173</v>
      </c>
      <c r="F57" s="11">
        <f t="shared" si="3"/>
        <v>-593.7308597795483</v>
      </c>
      <c r="G57" s="15">
        <f t="shared" si="0"/>
        <v>-1000</v>
      </c>
      <c r="H57" s="11"/>
      <c r="I57" s="12">
        <f t="shared" si="1"/>
        <v>-1000</v>
      </c>
      <c r="J57" s="5"/>
      <c r="K57" s="15">
        <f t="shared" si="2"/>
        <v>79131.12730176072</v>
      </c>
      <c r="L57" s="5"/>
      <c r="M57" s="7">
        <f t="shared" si="4"/>
        <v>-1000</v>
      </c>
      <c r="N57" s="15"/>
    </row>
    <row r="58" spans="1:14" ht="10.5">
      <c r="A58" s="17" t="s">
        <v>16</v>
      </c>
      <c r="C58" s="4">
        <f>_XLL.NEXTDATESEQ(C57,PeriodsInt)</f>
        <v>38961</v>
      </c>
      <c r="E58" s="11">
        <f>-_XLL.CON(C58,C59,DrawDate,RepDate,IntRate*SUM(K57),DayCount,PeriodsInt,1)</f>
        <v>-403.24355282541075</v>
      </c>
      <c r="F58" s="11">
        <f t="shared" si="3"/>
        <v>-596.7564471745893</v>
      </c>
      <c r="G58" s="15">
        <f t="shared" si="0"/>
        <v>-1000</v>
      </c>
      <c r="H58" s="11"/>
      <c r="I58" s="12">
        <f t="shared" si="1"/>
        <v>-1000</v>
      </c>
      <c r="J58" s="5"/>
      <c r="K58" s="15">
        <f t="shared" si="2"/>
        <v>78534.37085458613</v>
      </c>
      <c r="L58" s="5"/>
      <c r="M58" s="7">
        <f t="shared" si="4"/>
        <v>-1000</v>
      </c>
      <c r="N58" s="15"/>
    </row>
    <row r="59" spans="1:14" ht="10.5">
      <c r="A59" s="17" t="s">
        <v>17</v>
      </c>
      <c r="C59" s="4">
        <f>_XLL.NEXTDATESEQ(C58,PeriodsInt)</f>
        <v>38991</v>
      </c>
      <c r="E59" s="11">
        <f>-_XLL.CON(C59,C60,DrawDate,RepDate,IntRate*SUM(K58),DayCount,PeriodsInt,1)</f>
        <v>-387.29278777604117</v>
      </c>
      <c r="F59" s="11">
        <f t="shared" si="3"/>
        <v>-612.7072122239588</v>
      </c>
      <c r="G59" s="15">
        <f t="shared" si="0"/>
        <v>-1000</v>
      </c>
      <c r="H59" s="11"/>
      <c r="I59" s="12">
        <f t="shared" si="1"/>
        <v>-1000</v>
      </c>
      <c r="J59" s="5"/>
      <c r="K59" s="15">
        <f t="shared" si="2"/>
        <v>77921.66364236217</v>
      </c>
      <c r="L59" s="5"/>
      <c r="M59" s="7">
        <f t="shared" si="4"/>
        <v>-1000</v>
      </c>
      <c r="N59" s="15"/>
    </row>
    <row r="60" spans="1:14" ht="10.5">
      <c r="A60" s="16" t="s">
        <v>11</v>
      </c>
      <c r="C60" s="4">
        <f>_XLL.NEXTDATESEQ(C59,PeriodsInt)</f>
        <v>39022</v>
      </c>
      <c r="E60" s="11">
        <f>-_XLL.CON(C60,C61,DrawDate,RepDate,IntRate*SUM(K59),DayCount,PeriodsInt,1)</f>
        <v>-397.08025856107844</v>
      </c>
      <c r="F60" s="11">
        <f t="shared" si="3"/>
        <v>-602.9197414389216</v>
      </c>
      <c r="G60" s="15">
        <f t="shared" si="0"/>
        <v>-1000</v>
      </c>
      <c r="H60" s="11"/>
      <c r="I60" s="12">
        <f t="shared" si="1"/>
        <v>-1000</v>
      </c>
      <c r="J60" s="5"/>
      <c r="K60" s="15">
        <f t="shared" si="2"/>
        <v>77318.74390092325</v>
      </c>
      <c r="L60" s="5"/>
      <c r="M60" s="7">
        <f t="shared" si="4"/>
        <v>-1000</v>
      </c>
      <c r="N60" s="15"/>
    </row>
    <row r="61" spans="1:14" ht="10.5">
      <c r="A61" s="16" t="s">
        <v>13</v>
      </c>
      <c r="C61" s="4">
        <f>_XLL.NEXTDATESEQ(C60,PeriodsInt)</f>
        <v>39052</v>
      </c>
      <c r="E61" s="11">
        <f>-_XLL.CON(C61,C62,DrawDate,RepDate,IntRate*SUM(K60),DayCount,PeriodsInt,1)</f>
        <v>-381.2979151278406</v>
      </c>
      <c r="F61" s="11">
        <f t="shared" si="3"/>
        <v>-618.7020848721594</v>
      </c>
      <c r="G61" s="15">
        <f t="shared" si="0"/>
        <v>-1000</v>
      </c>
      <c r="H61" s="11"/>
      <c r="I61" s="12">
        <f t="shared" si="1"/>
        <v>-1000</v>
      </c>
      <c r="J61" s="5"/>
      <c r="K61" s="15">
        <f t="shared" si="2"/>
        <v>76700.04181605109</v>
      </c>
      <c r="L61" s="5"/>
      <c r="M61" s="7">
        <f t="shared" si="4"/>
        <v>-1000</v>
      </c>
      <c r="N61" s="15"/>
    </row>
    <row r="62" spans="3:14" ht="10.5">
      <c r="C62" s="4">
        <f>_XLL.NEXTDATESEQ(C61,PeriodsInt)</f>
        <v>39083</v>
      </c>
      <c r="E62" s="11">
        <f>-_XLL.CON(C62,C63,DrawDate,RepDate,IntRate*SUM(K61),DayCount,PeriodsInt,1)</f>
        <v>-390.8550076105617</v>
      </c>
      <c r="F62" s="11">
        <f t="shared" si="3"/>
        <v>-609.1449923894384</v>
      </c>
      <c r="G62" s="15">
        <f t="shared" si="0"/>
        <v>-1000</v>
      </c>
      <c r="H62" s="11"/>
      <c r="I62" s="12">
        <f t="shared" si="1"/>
        <v>-1000</v>
      </c>
      <c r="J62" s="5"/>
      <c r="K62" s="15">
        <f t="shared" si="2"/>
        <v>76090.89682366165</v>
      </c>
      <c r="L62" s="5"/>
      <c r="M62" s="7">
        <f t="shared" si="4"/>
        <v>-1000</v>
      </c>
      <c r="N62" s="15"/>
    </row>
    <row r="63" spans="3:14" ht="10.5">
      <c r="C63" s="4">
        <f>_XLL.NEXTDATESEQ(C62,PeriodsInt)</f>
        <v>39114</v>
      </c>
      <c r="E63" s="11">
        <f>-_XLL.CON(C63,C64,DrawDate,RepDate,IntRate*SUM(K62),DayCount,PeriodsInt,1)</f>
        <v>-387.7508714849607</v>
      </c>
      <c r="F63" s="11">
        <f t="shared" si="3"/>
        <v>-612.2491285150393</v>
      </c>
      <c r="G63" s="15">
        <f t="shared" si="0"/>
        <v>-1000</v>
      </c>
      <c r="H63" s="11"/>
      <c r="I63" s="12">
        <f t="shared" si="1"/>
        <v>-1000</v>
      </c>
      <c r="J63" s="5"/>
      <c r="K63" s="15">
        <f t="shared" si="2"/>
        <v>75478.6476951466</v>
      </c>
      <c r="L63" s="5"/>
      <c r="M63" s="7">
        <f t="shared" si="4"/>
        <v>-1000</v>
      </c>
      <c r="N63" s="15"/>
    </row>
    <row r="64" spans="3:14" ht="10.5">
      <c r="C64" s="4">
        <f>_XLL.NEXTDATESEQ(C63,PeriodsInt)</f>
        <v>39142</v>
      </c>
      <c r="E64" s="11">
        <f>-_XLL.CON(C64,C65,DrawDate,RepDate,IntRate*SUM(K63),DayCount,PeriodsInt,1)</f>
        <v>-347.4085702132775</v>
      </c>
      <c r="F64" s="11">
        <f t="shared" si="3"/>
        <v>-652.5914297867225</v>
      </c>
      <c r="G64" s="15">
        <f t="shared" si="0"/>
        <v>-1000</v>
      </c>
      <c r="H64" s="11"/>
      <c r="I64" s="12">
        <f t="shared" si="1"/>
        <v>-1000</v>
      </c>
      <c r="J64" s="5"/>
      <c r="K64" s="15">
        <f t="shared" si="2"/>
        <v>74826.05626535988</v>
      </c>
      <c r="L64" s="5"/>
      <c r="M64" s="7">
        <f t="shared" si="4"/>
        <v>-1000</v>
      </c>
      <c r="N64" s="15"/>
    </row>
    <row r="65" spans="3:14" ht="10.5">
      <c r="C65" s="4">
        <f>_XLL.NEXTDATESEQ(C64,PeriodsInt)</f>
        <v>39173</v>
      </c>
      <c r="E65" s="11">
        <f>-_XLL.CON(C65,C66,DrawDate,RepDate,IntRate*SUM(K64),DayCount,PeriodsInt,1)</f>
        <v>-381.3053826125188</v>
      </c>
      <c r="F65" s="11">
        <f t="shared" si="3"/>
        <v>-618.6946173874812</v>
      </c>
      <c r="G65" s="15">
        <f t="shared" si="0"/>
        <v>-1000</v>
      </c>
      <c r="H65" s="11"/>
      <c r="I65" s="12">
        <f t="shared" si="1"/>
        <v>-1000</v>
      </c>
      <c r="J65" s="5"/>
      <c r="K65" s="15">
        <f t="shared" si="2"/>
        <v>74207.3616479724</v>
      </c>
      <c r="L65" s="5"/>
      <c r="M65" s="7">
        <f t="shared" si="4"/>
        <v>-1000</v>
      </c>
      <c r="N65" s="15"/>
    </row>
    <row r="66" spans="3:14" ht="10.5">
      <c r="C66" s="4">
        <f>_XLL.NEXTDATESEQ(C65,PeriodsInt)</f>
        <v>39203</v>
      </c>
      <c r="E66" s="11">
        <f>-_XLL.CON(C66,C67,DrawDate,RepDate,IntRate*SUM(K65),DayCount,PeriodsInt,1)</f>
        <v>-365.95411223657624</v>
      </c>
      <c r="F66" s="11">
        <f t="shared" si="3"/>
        <v>-634.0458877634237</v>
      </c>
      <c r="G66" s="15">
        <f t="shared" si="0"/>
        <v>-1000</v>
      </c>
      <c r="H66" s="11"/>
      <c r="I66" s="12">
        <f t="shared" si="1"/>
        <v>-1000</v>
      </c>
      <c r="J66" s="5"/>
      <c r="K66" s="15">
        <f t="shared" si="2"/>
        <v>73573.31576020898</v>
      </c>
      <c r="L66" s="5"/>
      <c r="M66" s="7">
        <f t="shared" si="4"/>
        <v>-1000</v>
      </c>
      <c r="N66" s="15"/>
    </row>
    <row r="67" spans="3:14" ht="10.5">
      <c r="C67" s="4">
        <f>_XLL.NEXTDATESEQ(C66,PeriodsInt)</f>
        <v>39234</v>
      </c>
      <c r="E67" s="11">
        <f>-_XLL.CON(C67,C68,DrawDate,RepDate,IntRate*SUM(K66),DayCount,PeriodsInt,1)</f>
        <v>-374.9215542849005</v>
      </c>
      <c r="F67" s="11">
        <f t="shared" si="3"/>
        <v>-625.0784457150995</v>
      </c>
      <c r="G67" s="15">
        <f t="shared" si="0"/>
        <v>-1000</v>
      </c>
      <c r="H67" s="11"/>
      <c r="I67" s="12">
        <f t="shared" si="1"/>
        <v>-1000</v>
      </c>
      <c r="J67" s="5"/>
      <c r="K67" s="15">
        <f t="shared" si="2"/>
        <v>72948.23731449388</v>
      </c>
      <c r="L67" s="5"/>
      <c r="M67" s="7">
        <f t="shared" si="4"/>
        <v>-1000</v>
      </c>
      <c r="N67" s="15"/>
    </row>
    <row r="68" spans="3:14" ht="10.5">
      <c r="C68" s="4">
        <f>_XLL.NEXTDATESEQ(C67,PeriodsInt)</f>
        <v>39264</v>
      </c>
      <c r="E68" s="11">
        <f>-_XLL.CON(C68,C69,DrawDate,RepDate,IntRate*SUM(K67),DayCount,PeriodsInt,1)</f>
        <v>-359.74473196188757</v>
      </c>
      <c r="F68" s="11">
        <f t="shared" si="3"/>
        <v>-640.2552680381125</v>
      </c>
      <c r="G68" s="15">
        <f t="shared" si="0"/>
        <v>-1000</v>
      </c>
      <c r="H68" s="11"/>
      <c r="I68" s="12">
        <f t="shared" si="1"/>
        <v>-1000</v>
      </c>
      <c r="J68" s="5"/>
      <c r="K68" s="15">
        <f t="shared" si="2"/>
        <v>72307.98204645576</v>
      </c>
      <c r="L68" s="5"/>
      <c r="M68" s="7">
        <f t="shared" si="4"/>
        <v>-1000</v>
      </c>
      <c r="N68" s="15"/>
    </row>
    <row r="69" spans="3:14" ht="10.5">
      <c r="C69" s="4">
        <f>_XLL.NEXTDATESEQ(C68,PeriodsInt)</f>
        <v>39295</v>
      </c>
      <c r="E69" s="11">
        <f>-_XLL.CON(C69,C70,DrawDate,RepDate,IntRate*SUM(K68),DayCount,PeriodsInt,1)</f>
        <v>-368.4735523463225</v>
      </c>
      <c r="F69" s="11">
        <f t="shared" si="3"/>
        <v>-631.5264476536775</v>
      </c>
      <c r="G69" s="15">
        <f t="shared" si="0"/>
        <v>-1000</v>
      </c>
      <c r="H69" s="11"/>
      <c r="I69" s="12">
        <f t="shared" si="1"/>
        <v>-1000</v>
      </c>
      <c r="J69" s="5"/>
      <c r="K69" s="15">
        <f t="shared" si="2"/>
        <v>71676.45559880207</v>
      </c>
      <c r="L69" s="5"/>
      <c r="M69" s="7">
        <f t="shared" si="4"/>
        <v>-1000</v>
      </c>
      <c r="N69" s="15"/>
    </row>
    <row r="70" spans="3:14" ht="10.5">
      <c r="C70" s="4">
        <f>_XLL.NEXTDATESEQ(C69,PeriodsInt)</f>
        <v>39326</v>
      </c>
      <c r="E70" s="11">
        <f>-_XLL.CON(C70,C71,DrawDate,RepDate,IntRate*SUM(K69),DayCount,PeriodsInt,1)</f>
        <v>-365.2553627774571</v>
      </c>
      <c r="F70" s="11">
        <f t="shared" si="3"/>
        <v>-634.7446372225429</v>
      </c>
      <c r="G70" s="15">
        <f t="shared" si="0"/>
        <v>-1000</v>
      </c>
      <c r="H70" s="11"/>
      <c r="I70" s="12">
        <f t="shared" si="1"/>
        <v>-1000</v>
      </c>
      <c r="J70" s="5"/>
      <c r="K70" s="15">
        <f t="shared" si="2"/>
        <v>71041.71096157953</v>
      </c>
      <c r="L70" s="5"/>
      <c r="M70" s="7">
        <f t="shared" si="4"/>
        <v>-1000</v>
      </c>
      <c r="N70" s="15"/>
    </row>
    <row r="71" spans="3:14" ht="10.5">
      <c r="C71" s="4">
        <f>_XLL.NEXTDATESEQ(C70,PeriodsInt)</f>
        <v>39356</v>
      </c>
      <c r="E71" s="11">
        <f>-_XLL.CON(C71,C72,DrawDate,RepDate,IntRate*SUM(K70),DayCount,PeriodsInt,1)</f>
        <v>-350.34268419409085</v>
      </c>
      <c r="F71" s="11">
        <f t="shared" si="3"/>
        <v>-649.6573158059091</v>
      </c>
      <c r="G71" s="15">
        <f aca="true" t="shared" si="5" ref="G71:G102">-RegPmt*($C71&lt;=RepDate)</f>
        <v>-1000</v>
      </c>
      <c r="H71" s="11"/>
      <c r="I71" s="12">
        <f t="shared" si="1"/>
        <v>-1000</v>
      </c>
      <c r="J71" s="5"/>
      <c r="K71" s="15">
        <f t="shared" si="2"/>
        <v>70392.05364577363</v>
      </c>
      <c r="L71" s="5"/>
      <c r="M71" s="7">
        <f t="shared" si="4"/>
        <v>-1000</v>
      </c>
      <c r="N71" s="15"/>
    </row>
    <row r="72" spans="3:14" ht="10.5">
      <c r="C72" s="4">
        <f>_XLL.NEXTDATESEQ(C71,PeriodsInt)</f>
        <v>39387</v>
      </c>
      <c r="E72" s="11">
        <f>-_XLL.CON(C72,C73,DrawDate,RepDate,IntRate*SUM(K71),DayCount,PeriodsInt,1)</f>
        <v>-358.7101911812026</v>
      </c>
      <c r="F72" s="11">
        <f t="shared" si="3"/>
        <v>-641.2898088187974</v>
      </c>
      <c r="G72" s="15">
        <f t="shared" si="5"/>
        <v>-1000</v>
      </c>
      <c r="H72" s="11"/>
      <c r="I72" s="12">
        <f t="shared" si="1"/>
        <v>-1000</v>
      </c>
      <c r="J72" s="5"/>
      <c r="K72" s="15">
        <f t="shared" si="2"/>
        <v>69750.76383695484</v>
      </c>
      <c r="L72" s="5"/>
      <c r="M72" s="7">
        <f t="shared" si="4"/>
        <v>-1000</v>
      </c>
      <c r="N72" s="15"/>
    </row>
    <row r="73" spans="3:14" ht="10.5">
      <c r="C73" s="4">
        <f>_XLL.NEXTDATESEQ(C72,PeriodsInt)</f>
        <v>39417</v>
      </c>
      <c r="E73" s="11">
        <f>-_XLL.CON(C73,C74,DrawDate,RepDate,IntRate*SUM(K72),DayCount,PeriodsInt,1)</f>
        <v>-343.97636960690056</v>
      </c>
      <c r="F73" s="11">
        <f t="shared" si="3"/>
        <v>-656.0236303930994</v>
      </c>
      <c r="G73" s="15">
        <f t="shared" si="5"/>
        <v>-1000</v>
      </c>
      <c r="H73" s="11"/>
      <c r="I73" s="12">
        <f t="shared" si="1"/>
        <v>-1000</v>
      </c>
      <c r="J73" s="5"/>
      <c r="K73" s="15">
        <f t="shared" si="2"/>
        <v>69094.74020656174</v>
      </c>
      <c r="L73" s="5"/>
      <c r="M73" s="7">
        <f t="shared" si="4"/>
        <v>-1000</v>
      </c>
      <c r="N73" s="15"/>
    </row>
    <row r="74" spans="3:14" ht="10.5">
      <c r="C74" s="4">
        <f>_XLL.NEXTDATESEQ(C73,PeriodsInt)</f>
        <v>39448</v>
      </c>
      <c r="E74" s="11">
        <f>-_XLL.CON(C74,C75,DrawDate,RepDate,IntRate*SUM(K73),DayCount,PeriodsInt,1)</f>
        <v>-352.0992240663146</v>
      </c>
      <c r="F74" s="11">
        <f t="shared" si="3"/>
        <v>-647.9007759336854</v>
      </c>
      <c r="G74" s="15">
        <f t="shared" si="5"/>
        <v>-1000</v>
      </c>
      <c r="H74" s="11"/>
      <c r="I74" s="12">
        <f t="shared" si="1"/>
        <v>-1000</v>
      </c>
      <c r="J74" s="5"/>
      <c r="K74" s="15">
        <f t="shared" si="2"/>
        <v>68446.83943062805</v>
      </c>
      <c r="L74" s="5"/>
      <c r="M74" s="7">
        <f t="shared" si="4"/>
        <v>-1000</v>
      </c>
      <c r="N74" s="15"/>
    </row>
    <row r="75" spans="3:14" ht="10.5">
      <c r="C75" s="4">
        <f>_XLL.NEXTDATESEQ(C74,PeriodsInt)</f>
        <v>39479</v>
      </c>
      <c r="E75" s="11">
        <f>-_XLL.CON(C75,C76,DrawDate,RepDate,IntRate*SUM(K74),DayCount,PeriodsInt,1)</f>
        <v>-348.7975927149813</v>
      </c>
      <c r="F75" s="11">
        <f t="shared" si="3"/>
        <v>-651.2024072850187</v>
      </c>
      <c r="G75" s="15">
        <f t="shared" si="5"/>
        <v>-1000</v>
      </c>
      <c r="H75" s="11"/>
      <c r="I75" s="12">
        <f t="shared" si="1"/>
        <v>-1000</v>
      </c>
      <c r="J75" s="5"/>
      <c r="K75" s="15">
        <f t="shared" si="2"/>
        <v>67795.63702334304</v>
      </c>
      <c r="L75" s="5"/>
      <c r="M75" s="7">
        <f t="shared" si="4"/>
        <v>-1000</v>
      </c>
      <c r="N75" s="15"/>
    </row>
    <row r="76" spans="3:14" ht="10.5">
      <c r="C76" s="4">
        <f>_XLL.NEXTDATESEQ(C75,PeriodsInt)</f>
        <v>39508</v>
      </c>
      <c r="E76" s="11">
        <f>-_XLL.CON(C76,C77,DrawDate,RepDate,IntRate*SUM(K75),DayCount,PeriodsInt,1)</f>
        <v>-323.19016005648456</v>
      </c>
      <c r="F76" s="11">
        <f t="shared" si="3"/>
        <v>-676.8098399435155</v>
      </c>
      <c r="G76" s="15">
        <f t="shared" si="5"/>
        <v>-1000</v>
      </c>
      <c r="H76" s="11"/>
      <c r="I76" s="12">
        <f t="shared" si="1"/>
        <v>-1000</v>
      </c>
      <c r="J76" s="5"/>
      <c r="K76" s="15">
        <f t="shared" si="2"/>
        <v>67118.82718339952</v>
      </c>
      <c r="L76" s="5"/>
      <c r="M76" s="7">
        <f t="shared" si="4"/>
        <v>-1000</v>
      </c>
      <c r="N76" s="15"/>
    </row>
    <row r="77" spans="3:14" ht="10.5">
      <c r="C77" s="4">
        <f>_XLL.NEXTDATESEQ(C76,PeriodsInt)</f>
        <v>39539</v>
      </c>
      <c r="E77" s="11">
        <f>-_XLL.CON(C77,C78,DrawDate,RepDate,IntRate*SUM(K76),DayCount,PeriodsInt,1)</f>
        <v>-342.03018783869345</v>
      </c>
      <c r="F77" s="11">
        <f t="shared" si="3"/>
        <v>-657.9698121613065</v>
      </c>
      <c r="G77" s="15">
        <f t="shared" si="5"/>
        <v>-1000</v>
      </c>
      <c r="H77" s="11"/>
      <c r="I77" s="12">
        <f t="shared" si="1"/>
        <v>-1000</v>
      </c>
      <c r="J77" s="5"/>
      <c r="K77" s="15">
        <f t="shared" si="2"/>
        <v>66460.85737123822</v>
      </c>
      <c r="L77" s="5"/>
      <c r="M77" s="7">
        <f t="shared" si="4"/>
        <v>-1000</v>
      </c>
      <c r="N77" s="15"/>
    </row>
    <row r="78" spans="3:14" ht="10.5">
      <c r="C78" s="4">
        <f>_XLL.NEXTDATESEQ(C77,PeriodsInt)</f>
        <v>39569</v>
      </c>
      <c r="E78" s="11">
        <f>-_XLL.CON(C78,C79,DrawDate,RepDate,IntRate*SUM(K77),DayCount,PeriodsInt,1)</f>
        <v>-327.7521733376131</v>
      </c>
      <c r="F78" s="11">
        <f t="shared" si="3"/>
        <v>-672.2478266623868</v>
      </c>
      <c r="G78" s="15">
        <f t="shared" si="5"/>
        <v>-1000</v>
      </c>
      <c r="H78" s="11"/>
      <c r="I78" s="12">
        <f t="shared" si="1"/>
        <v>-1000</v>
      </c>
      <c r="J78" s="5"/>
      <c r="K78" s="15">
        <f t="shared" si="2"/>
        <v>65788.60954457584</v>
      </c>
      <c r="L78" s="5"/>
      <c r="M78" s="7">
        <f t="shared" si="4"/>
        <v>-1000</v>
      </c>
      <c r="N78" s="15"/>
    </row>
    <row r="79" spans="3:14" ht="10.5">
      <c r="C79" s="4">
        <f>_XLL.NEXTDATESEQ(C78,PeriodsInt)</f>
        <v>39600</v>
      </c>
      <c r="E79" s="11">
        <f>-_XLL.CON(C79,C80,DrawDate,RepDate,IntRate*SUM(K78),DayCount,PeriodsInt,1)</f>
        <v>-335.2515445285234</v>
      </c>
      <c r="F79" s="11">
        <f t="shared" si="3"/>
        <v>-664.7484554714765</v>
      </c>
      <c r="G79" s="15">
        <f t="shared" si="5"/>
        <v>-1000</v>
      </c>
      <c r="H79" s="11"/>
      <c r="I79" s="12">
        <f t="shared" si="1"/>
        <v>-1000</v>
      </c>
      <c r="J79" s="5"/>
      <c r="K79" s="15">
        <f t="shared" si="2"/>
        <v>65123.861089104365</v>
      </c>
      <c r="L79" s="5"/>
      <c r="M79" s="7">
        <f t="shared" si="4"/>
        <v>-1000</v>
      </c>
      <c r="N79" s="15"/>
    </row>
    <row r="80" spans="3:14" ht="10.5">
      <c r="C80" s="4">
        <f>_XLL.NEXTDATESEQ(C79,PeriodsInt)</f>
        <v>39630</v>
      </c>
      <c r="E80" s="11">
        <f>-_XLL.CON(C80,C81,DrawDate,RepDate,IntRate*SUM(K79),DayCount,PeriodsInt,1)</f>
        <v>-321.1587670147612</v>
      </c>
      <c r="F80" s="11">
        <f t="shared" si="3"/>
        <v>-678.8412329852388</v>
      </c>
      <c r="G80" s="15">
        <f t="shared" si="5"/>
        <v>-1000</v>
      </c>
      <c r="H80" s="11"/>
      <c r="I80" s="12">
        <f t="shared" si="1"/>
        <v>-1000</v>
      </c>
      <c r="J80" s="5"/>
      <c r="K80" s="15">
        <f t="shared" si="2"/>
        <v>64445.01985611913</v>
      </c>
      <c r="L80" s="5"/>
      <c r="M80" s="7">
        <f t="shared" si="4"/>
        <v>-1000</v>
      </c>
      <c r="N80" s="15"/>
    </row>
    <row r="81" spans="3:14" ht="10.5">
      <c r="C81" s="4">
        <f>_XLL.NEXTDATESEQ(C80,PeriodsInt)</f>
        <v>39661</v>
      </c>
      <c r="E81" s="11">
        <f>-_XLL.CON(C81,C82,DrawDate,RepDate,IntRate*SUM(K80),DayCount,PeriodsInt,1)</f>
        <v>-328.40475871885366</v>
      </c>
      <c r="F81" s="11">
        <f t="shared" si="3"/>
        <v>-671.5952412811464</v>
      </c>
      <c r="G81" s="15">
        <f t="shared" si="5"/>
        <v>-1000</v>
      </c>
      <c r="H81" s="11"/>
      <c r="I81" s="12">
        <f t="shared" si="1"/>
        <v>-1000</v>
      </c>
      <c r="J81" s="5"/>
      <c r="K81" s="15">
        <f t="shared" si="2"/>
        <v>63773.42461483798</v>
      </c>
      <c r="L81" s="5"/>
      <c r="M81" s="7">
        <f t="shared" si="4"/>
        <v>-1000</v>
      </c>
      <c r="N81" s="15"/>
    </row>
    <row r="82" spans="3:14" ht="10.5">
      <c r="C82" s="4">
        <f>_XLL.NEXTDATESEQ(C81,PeriodsInt)</f>
        <v>39692</v>
      </c>
      <c r="E82" s="11">
        <f>-_XLL.CON(C82,C83,DrawDate,RepDate,IntRate*SUM(K81),DayCount,PeriodsInt,1)</f>
        <v>-324.9823829687634</v>
      </c>
      <c r="F82" s="11">
        <f t="shared" si="3"/>
        <v>-675.0176170312366</v>
      </c>
      <c r="G82" s="15">
        <f t="shared" si="5"/>
        <v>-1000</v>
      </c>
      <c r="H82" s="11"/>
      <c r="I82" s="12">
        <f t="shared" si="1"/>
        <v>-1000</v>
      </c>
      <c r="J82" s="5"/>
      <c r="K82" s="15">
        <f t="shared" si="2"/>
        <v>63098.40699780675</v>
      </c>
      <c r="L82" s="5"/>
      <c r="M82" s="7">
        <f t="shared" si="4"/>
        <v>-1000</v>
      </c>
      <c r="N82" s="15"/>
    </row>
    <row r="83" spans="3:14" ht="10.5">
      <c r="C83" s="4">
        <f>_XLL.NEXTDATESEQ(C82,PeriodsInt)</f>
        <v>39722</v>
      </c>
      <c r="E83" s="11">
        <f>-_XLL.CON(C83,C84,DrawDate,RepDate,IntRate*SUM(K82),DayCount,PeriodsInt,1)</f>
        <v>-311.1702262905538</v>
      </c>
      <c r="F83" s="11">
        <f t="shared" si="3"/>
        <v>-688.8297737094463</v>
      </c>
      <c r="G83" s="15">
        <f t="shared" si="5"/>
        <v>-1000</v>
      </c>
      <c r="H83" s="11"/>
      <c r="I83" s="12">
        <f t="shared" si="1"/>
        <v>-1000</v>
      </c>
      <c r="J83" s="5"/>
      <c r="K83" s="15">
        <f t="shared" si="2"/>
        <v>62409.5772240973</v>
      </c>
      <c r="L83" s="5"/>
      <c r="M83" s="7">
        <f t="shared" si="4"/>
        <v>-1000</v>
      </c>
      <c r="N83" s="15"/>
    </row>
    <row r="84" spans="3:14" ht="10.5">
      <c r="C84" s="4">
        <f>_XLL.NEXTDATESEQ(C83,PeriodsInt)</f>
        <v>39753</v>
      </c>
      <c r="E84" s="11">
        <f>-_XLL.CON(C84,C85,DrawDate,RepDate,IntRate*SUM(K83),DayCount,PeriodsInt,1)</f>
        <v>-318.03236612827664</v>
      </c>
      <c r="F84" s="11">
        <f t="shared" si="3"/>
        <v>-681.9676338717234</v>
      </c>
      <c r="G84" s="15">
        <f t="shared" si="5"/>
        <v>-1000</v>
      </c>
      <c r="H84" s="11"/>
      <c r="I84" s="12">
        <f t="shared" si="1"/>
        <v>-1000</v>
      </c>
      <c r="J84" s="5"/>
      <c r="K84" s="15">
        <f t="shared" si="2"/>
        <v>61727.60959022558</v>
      </c>
      <c r="L84" s="5"/>
      <c r="M84" s="7">
        <f t="shared" si="4"/>
        <v>-1000</v>
      </c>
      <c r="N84" s="15"/>
    </row>
    <row r="85" spans="3:14" ht="10.5">
      <c r="C85" s="4">
        <f>_XLL.NEXTDATESEQ(C84,PeriodsInt)</f>
        <v>39783</v>
      </c>
      <c r="E85" s="11">
        <f>-_XLL.CON(C85,C86,DrawDate,RepDate,IntRate*SUM(K84),DayCount,PeriodsInt,1)</f>
        <v>-304.4101294860439</v>
      </c>
      <c r="F85" s="11">
        <f t="shared" si="3"/>
        <v>-695.5898705139562</v>
      </c>
      <c r="G85" s="15">
        <f t="shared" si="5"/>
        <v>-1000</v>
      </c>
      <c r="H85" s="11"/>
      <c r="I85" s="12">
        <f t="shared" si="1"/>
        <v>-1000</v>
      </c>
      <c r="J85" s="5"/>
      <c r="K85" s="15">
        <f t="shared" si="2"/>
        <v>61032.01971971162</v>
      </c>
      <c r="L85" s="5"/>
      <c r="M85" s="7">
        <f t="shared" si="4"/>
        <v>-1000</v>
      </c>
      <c r="N85" s="15"/>
    </row>
    <row r="86" spans="3:14" ht="10.5">
      <c r="C86" s="4">
        <f>_XLL.NEXTDATESEQ(C85,PeriodsInt)</f>
        <v>39814</v>
      </c>
      <c r="E86" s="11">
        <f>-_XLL.CON(C86,C87,DrawDate,RepDate,IntRate*SUM(K85),DayCount,PeriodsInt,1)</f>
        <v>-311.0124840511332</v>
      </c>
      <c r="F86" s="11">
        <f t="shared" si="3"/>
        <v>-688.9875159488668</v>
      </c>
      <c r="G86" s="15">
        <f t="shared" si="5"/>
        <v>-1000</v>
      </c>
      <c r="H86" s="11"/>
      <c r="I86" s="12">
        <f t="shared" si="1"/>
        <v>-1000</v>
      </c>
      <c r="J86" s="5"/>
      <c r="K86" s="15">
        <f t="shared" si="2"/>
        <v>60343.032203762756</v>
      </c>
      <c r="L86" s="5"/>
      <c r="M86" s="7">
        <f t="shared" si="4"/>
        <v>-1000</v>
      </c>
      <c r="N86" s="15"/>
    </row>
    <row r="87" spans="3:14" ht="10.5">
      <c r="C87" s="4">
        <f>_XLL.NEXTDATESEQ(C86,PeriodsInt)</f>
        <v>39845</v>
      </c>
      <c r="E87" s="11">
        <f>-_XLL.CON(C87,C88,DrawDate,RepDate,IntRate*SUM(K86),DayCount,PeriodsInt,1)</f>
        <v>-307.50147917533894</v>
      </c>
      <c r="F87" s="11">
        <f t="shared" si="3"/>
        <v>-692.498520824661</v>
      </c>
      <c r="G87" s="15">
        <f t="shared" si="5"/>
        <v>-1000</v>
      </c>
      <c r="H87" s="11"/>
      <c r="I87" s="12">
        <f t="shared" si="1"/>
        <v>-1000</v>
      </c>
      <c r="J87" s="5"/>
      <c r="K87" s="15">
        <f t="shared" si="2"/>
        <v>59650.5336829381</v>
      </c>
      <c r="L87" s="5"/>
      <c r="M87" s="7">
        <f t="shared" si="4"/>
        <v>-1000</v>
      </c>
      <c r="N87" s="15"/>
    </row>
    <row r="88" spans="3:14" ht="10.5">
      <c r="C88" s="4">
        <f>_XLL.NEXTDATESEQ(C87,PeriodsInt)</f>
        <v>39873</v>
      </c>
      <c r="E88" s="11">
        <f>-_XLL.CON(C88,C89,DrawDate,RepDate,IntRate*SUM(K87),DayCount,PeriodsInt,1)</f>
        <v>-274.55588106119455</v>
      </c>
      <c r="F88" s="11">
        <f t="shared" si="3"/>
        <v>-725.4441189388054</v>
      </c>
      <c r="G88" s="15">
        <f t="shared" si="5"/>
        <v>-1000</v>
      </c>
      <c r="H88" s="11"/>
      <c r="I88" s="12">
        <f t="shared" si="1"/>
        <v>-1000</v>
      </c>
      <c r="J88" s="5"/>
      <c r="K88" s="15">
        <f t="shared" si="2"/>
        <v>58925.08956399929</v>
      </c>
      <c r="L88" s="5"/>
      <c r="M88" s="7">
        <f t="shared" si="4"/>
        <v>-1000</v>
      </c>
      <c r="N88" s="15"/>
    </row>
    <row r="89" spans="3:14" ht="10.5">
      <c r="C89" s="4">
        <f>_XLL.NEXTDATESEQ(C88,PeriodsInt)</f>
        <v>39904</v>
      </c>
      <c r="E89" s="11">
        <f>-_XLL.CON(C89,C90,DrawDate,RepDate,IntRate*SUM(K88),DayCount,PeriodsInt,1)</f>
        <v>-300.27579887407853</v>
      </c>
      <c r="F89" s="11">
        <f t="shared" si="3"/>
        <v>-699.7242011259215</v>
      </c>
      <c r="G89" s="15">
        <f t="shared" si="5"/>
        <v>-1000</v>
      </c>
      <c r="H89" s="11"/>
      <c r="I89" s="12">
        <f t="shared" si="1"/>
        <v>-1000</v>
      </c>
      <c r="J89" s="5"/>
      <c r="K89" s="15">
        <f t="shared" si="2"/>
        <v>58225.36536287337</v>
      </c>
      <c r="L89" s="5"/>
      <c r="M89" s="7">
        <f t="shared" si="4"/>
        <v>-1000</v>
      </c>
      <c r="N89" s="15"/>
    </row>
    <row r="90" spans="3:14" ht="10.5">
      <c r="C90" s="4">
        <f>_XLL.NEXTDATESEQ(C89,PeriodsInt)</f>
        <v>39934</v>
      </c>
      <c r="E90" s="11">
        <f>-_XLL.CON(C90,C91,DrawDate,RepDate,IntRate*SUM(K89),DayCount,PeriodsInt,1)</f>
        <v>-287.1387880908824</v>
      </c>
      <c r="F90" s="11">
        <f t="shared" si="3"/>
        <v>-712.8612119091176</v>
      </c>
      <c r="G90" s="15">
        <f t="shared" si="5"/>
        <v>-1000</v>
      </c>
      <c r="H90" s="11"/>
      <c r="I90" s="12">
        <f t="shared" si="1"/>
        <v>-1000</v>
      </c>
      <c r="J90" s="5"/>
      <c r="K90" s="15">
        <f t="shared" si="2"/>
        <v>57512.50415096425</v>
      </c>
      <c r="L90" s="5"/>
      <c r="M90" s="7">
        <f t="shared" si="4"/>
        <v>-1000</v>
      </c>
      <c r="N90" s="15"/>
    </row>
    <row r="91" spans="3:14" ht="10.5">
      <c r="C91" s="4">
        <f>_XLL.NEXTDATESEQ(C90,PeriodsInt)</f>
        <v>39965</v>
      </c>
      <c r="E91" s="11">
        <f>-_XLL.CON(C91,C92,DrawDate,RepDate,IntRate*SUM(K90),DayCount,PeriodsInt,1)</f>
        <v>-293.0774184131328</v>
      </c>
      <c r="F91" s="11">
        <f t="shared" si="3"/>
        <v>-706.9225815868672</v>
      </c>
      <c r="G91" s="15">
        <f t="shared" si="5"/>
        <v>-1000</v>
      </c>
      <c r="H91" s="11"/>
      <c r="I91" s="12">
        <f t="shared" si="1"/>
        <v>-1000</v>
      </c>
      <c r="J91" s="5"/>
      <c r="K91" s="15">
        <f t="shared" si="2"/>
        <v>56805.58156937738</v>
      </c>
      <c r="L91" s="5"/>
      <c r="M91" s="7">
        <f t="shared" si="4"/>
        <v>-1000</v>
      </c>
      <c r="N91" s="15"/>
    </row>
    <row r="92" spans="3:14" ht="10.5">
      <c r="C92" s="4">
        <f>_XLL.NEXTDATESEQ(C91,PeriodsInt)</f>
        <v>39995</v>
      </c>
      <c r="E92" s="11">
        <f>-_XLL.CON(C92,C93,DrawDate,RepDate,IntRate*SUM(K91),DayCount,PeriodsInt,1)</f>
        <v>-280.1371145887103</v>
      </c>
      <c r="F92" s="11">
        <f t="shared" si="3"/>
        <v>-719.8628854112897</v>
      </c>
      <c r="G92" s="15">
        <f t="shared" si="5"/>
        <v>-1000</v>
      </c>
      <c r="H92" s="11"/>
      <c r="I92" s="12">
        <f t="shared" si="1"/>
        <v>-1000</v>
      </c>
      <c r="J92" s="5"/>
      <c r="K92" s="15">
        <f t="shared" si="2"/>
        <v>56085.718683966086</v>
      </c>
      <c r="L92" s="5"/>
      <c r="M92" s="7">
        <f t="shared" si="4"/>
        <v>-1000</v>
      </c>
      <c r="N92" s="15"/>
    </row>
    <row r="93" spans="3:14" ht="10.5">
      <c r="C93" s="4">
        <f>_XLL.NEXTDATESEQ(C92,PeriodsInt)</f>
        <v>40026</v>
      </c>
      <c r="E93" s="11">
        <f>-_XLL.CON(C93,C94,DrawDate,RepDate,IntRate*SUM(K92),DayCount,PeriodsInt,1)</f>
        <v>-285.80667603336144</v>
      </c>
      <c r="F93" s="11">
        <f t="shared" si="3"/>
        <v>-714.1933239666386</v>
      </c>
      <c r="G93" s="15">
        <f t="shared" si="5"/>
        <v>-1000</v>
      </c>
      <c r="H93" s="11"/>
      <c r="I93" s="12">
        <f t="shared" si="1"/>
        <v>-1000</v>
      </c>
      <c r="J93" s="5"/>
      <c r="K93" s="15">
        <f t="shared" si="2"/>
        <v>55371.52535999945</v>
      </c>
      <c r="L93" s="5"/>
      <c r="M93" s="7">
        <f t="shared" si="4"/>
        <v>-1000</v>
      </c>
      <c r="N93" s="15"/>
    </row>
    <row r="94" spans="3:14" ht="10.5">
      <c r="C94" s="4">
        <f>_XLL.NEXTDATESEQ(C93,PeriodsInt)</f>
        <v>40057</v>
      </c>
      <c r="E94" s="11">
        <f>-_XLL.CON(C94,C95,DrawDate,RepDate,IntRate*SUM(K93),DayCount,PeriodsInt,1)</f>
        <v>-282.16722512218894</v>
      </c>
      <c r="F94" s="11">
        <f t="shared" si="3"/>
        <v>-717.8327748778111</v>
      </c>
      <c r="G94" s="15">
        <f t="shared" si="5"/>
        <v>-1000</v>
      </c>
      <c r="H94" s="11"/>
      <c r="I94" s="12">
        <f t="shared" si="1"/>
        <v>-1000</v>
      </c>
      <c r="J94" s="5"/>
      <c r="K94" s="15">
        <f t="shared" si="2"/>
        <v>54653.69258512164</v>
      </c>
      <c r="L94" s="5"/>
      <c r="M94" s="7">
        <f t="shared" si="4"/>
        <v>-1000</v>
      </c>
      <c r="N94" s="15"/>
    </row>
    <row r="95" spans="3:14" ht="10.5">
      <c r="C95" s="4">
        <f>_XLL.NEXTDATESEQ(C94,PeriodsInt)</f>
        <v>40087</v>
      </c>
      <c r="E95" s="11">
        <f>-_XLL.CON(C95,C96,DrawDate,RepDate,IntRate*SUM(K94),DayCount,PeriodsInt,1)</f>
        <v>-269.5250593238875</v>
      </c>
      <c r="F95" s="11">
        <f t="shared" si="3"/>
        <v>-730.4749406761125</v>
      </c>
      <c r="G95" s="15">
        <f t="shared" si="5"/>
        <v>-1000</v>
      </c>
      <c r="H95" s="11"/>
      <c r="I95" s="12">
        <f t="shared" si="1"/>
        <v>-1000</v>
      </c>
      <c r="J95" s="5"/>
      <c r="K95" s="15">
        <f t="shared" si="2"/>
        <v>53923.217644445525</v>
      </c>
      <c r="L95" s="5"/>
      <c r="M95" s="7">
        <f t="shared" si="4"/>
        <v>-1000</v>
      </c>
      <c r="N95" s="15"/>
    </row>
    <row r="96" spans="3:14" ht="10.5">
      <c r="C96" s="4">
        <f>_XLL.NEXTDATESEQ(C95,PeriodsInt)</f>
        <v>40118</v>
      </c>
      <c r="E96" s="11">
        <f>-_XLL.CON(C96,C97,DrawDate,RepDate,IntRate*SUM(K95),DayCount,PeriodsInt,1)</f>
        <v>-274.78680772237993</v>
      </c>
      <c r="F96" s="11">
        <f t="shared" si="3"/>
        <v>-725.21319227762</v>
      </c>
      <c r="G96" s="15">
        <f t="shared" si="5"/>
        <v>-1000</v>
      </c>
      <c r="H96" s="11"/>
      <c r="I96" s="12">
        <f t="shared" si="1"/>
        <v>-1000</v>
      </c>
      <c r="J96" s="5"/>
      <c r="K96" s="15">
        <f t="shared" si="2"/>
        <v>53198.00445216791</v>
      </c>
      <c r="L96" s="5"/>
      <c r="M96" s="7">
        <f t="shared" si="4"/>
        <v>-1000</v>
      </c>
      <c r="N96" s="15"/>
    </row>
    <row r="97" spans="3:14" ht="10.5">
      <c r="C97" s="4">
        <f>_XLL.NEXTDATESEQ(C96,PeriodsInt)</f>
        <v>40148</v>
      </c>
      <c r="E97" s="11">
        <f>-_XLL.CON(C97,C98,DrawDate,RepDate,IntRate*SUM(K96),DayCount,PeriodsInt,1)</f>
        <v>-262.34632332575956</v>
      </c>
      <c r="F97" s="11">
        <f t="shared" si="3"/>
        <v>-737.6536766742404</v>
      </c>
      <c r="G97" s="15">
        <f t="shared" si="5"/>
        <v>-1000</v>
      </c>
      <c r="H97" s="11"/>
      <c r="I97" s="12">
        <f t="shared" si="1"/>
        <v>-1000</v>
      </c>
      <c r="J97" s="5"/>
      <c r="K97" s="15">
        <f t="shared" si="2"/>
        <v>52460.350775493665</v>
      </c>
      <c r="L97" s="5"/>
      <c r="M97" s="7">
        <f t="shared" si="4"/>
        <v>-1000</v>
      </c>
      <c r="N97" s="15"/>
    </row>
    <row r="98" spans="3:14" ht="10.5">
      <c r="C98" s="4">
        <f>_XLL.NEXTDATESEQ(C97,PeriodsInt)</f>
        <v>40179</v>
      </c>
      <c r="E98" s="11">
        <f>-_XLL.CON(C98,C99,DrawDate,RepDate,IntRate*SUM(K97),DayCount,PeriodsInt,1)</f>
        <v>-267.33219847237865</v>
      </c>
      <c r="F98" s="11">
        <f t="shared" si="3"/>
        <v>-732.6678015276214</v>
      </c>
      <c r="G98" s="15">
        <f t="shared" si="5"/>
        <v>-1000</v>
      </c>
      <c r="H98" s="11"/>
      <c r="I98" s="12">
        <f t="shared" si="1"/>
        <v>-1000</v>
      </c>
      <c r="J98" s="5"/>
      <c r="K98" s="15">
        <f t="shared" si="2"/>
        <v>51727.682973966046</v>
      </c>
      <c r="L98" s="5"/>
      <c r="M98" s="7">
        <f t="shared" si="4"/>
        <v>-1000</v>
      </c>
      <c r="N98" s="15"/>
    </row>
    <row r="99" spans="3:14" ht="10.5">
      <c r="C99" s="4">
        <f>_XLL.NEXTDATESEQ(C98,PeriodsInt)</f>
        <v>40210</v>
      </c>
      <c r="E99" s="11">
        <f>-_XLL.CON(C99,C100,DrawDate,RepDate,IntRate*SUM(K98),DayCount,PeriodsInt,1)</f>
        <v>-263.5986036481557</v>
      </c>
      <c r="F99" s="11">
        <f t="shared" si="3"/>
        <v>-736.4013963518444</v>
      </c>
      <c r="G99" s="15">
        <f t="shared" si="5"/>
        <v>-1000</v>
      </c>
      <c r="H99" s="11"/>
      <c r="I99" s="12">
        <f t="shared" si="1"/>
        <v>-1000</v>
      </c>
      <c r="J99" s="5"/>
      <c r="K99" s="15">
        <f t="shared" si="2"/>
        <v>50991.2815776142</v>
      </c>
      <c r="L99" s="5"/>
      <c r="M99" s="7">
        <f t="shared" si="4"/>
        <v>-1000</v>
      </c>
      <c r="N99" s="15"/>
    </row>
    <row r="100" spans="3:14" ht="10.5">
      <c r="C100" s="4">
        <f>_XLL.NEXTDATESEQ(C99,PeriodsInt)</f>
        <v>40238</v>
      </c>
      <c r="E100" s="11">
        <f>-_XLL.CON(C100,C101,DrawDate,RepDate,IntRate*SUM(K99),DayCount,PeriodsInt,1)</f>
        <v>-234.69959739833385</v>
      </c>
      <c r="F100" s="11">
        <f t="shared" si="3"/>
        <v>-765.3004026016662</v>
      </c>
      <c r="G100" s="15">
        <f t="shared" si="5"/>
        <v>-1000</v>
      </c>
      <c r="H100" s="11"/>
      <c r="I100" s="12">
        <f t="shared" si="1"/>
        <v>-1000</v>
      </c>
      <c r="J100" s="5"/>
      <c r="K100" s="15">
        <f t="shared" si="2"/>
        <v>50225.98117501254</v>
      </c>
      <c r="L100" s="5"/>
      <c r="M100" s="7">
        <f t="shared" si="4"/>
        <v>-1000</v>
      </c>
      <c r="N100" s="15"/>
    </row>
    <row r="101" spans="3:14" ht="10.5">
      <c r="C101" s="4">
        <f>_XLL.NEXTDATESEQ(C100,PeriodsInt)</f>
        <v>40269</v>
      </c>
      <c r="E101" s="11">
        <f>-_XLL.CON(C101,C102,DrawDate,RepDate,IntRate*SUM(K100),DayCount,PeriodsInt,1)</f>
        <v>-255.9460958507488</v>
      </c>
      <c r="F101" s="11">
        <f t="shared" si="3"/>
        <v>-744.0539041492511</v>
      </c>
      <c r="G101" s="15">
        <f t="shared" si="5"/>
        <v>-1000</v>
      </c>
      <c r="H101" s="11"/>
      <c r="I101" s="12">
        <f t="shared" si="1"/>
        <v>-1000</v>
      </c>
      <c r="J101" s="5"/>
      <c r="K101" s="15">
        <f t="shared" si="2"/>
        <v>49481.927270863285</v>
      </c>
      <c r="L101" s="5"/>
      <c r="M101" s="7">
        <f t="shared" si="4"/>
        <v>-1000</v>
      </c>
      <c r="N101" s="15"/>
    </row>
    <row r="102" spans="3:14" ht="10.5">
      <c r="C102" s="4">
        <f>_XLL.NEXTDATESEQ(C101,PeriodsInt)</f>
        <v>40299</v>
      </c>
      <c r="E102" s="11">
        <f>-_XLL.CON(C102,C103,DrawDate,RepDate,IntRate*SUM(K101),DayCount,PeriodsInt,1)</f>
        <v>-244.02046325357233</v>
      </c>
      <c r="F102" s="11">
        <f t="shared" si="3"/>
        <v>-755.9795367464277</v>
      </c>
      <c r="G102" s="15">
        <f t="shared" si="5"/>
        <v>-1000</v>
      </c>
      <c r="H102" s="11"/>
      <c r="I102" s="12">
        <f t="shared" si="1"/>
        <v>-1000</v>
      </c>
      <c r="J102" s="5"/>
      <c r="K102" s="15">
        <f t="shared" si="2"/>
        <v>48725.94773411686</v>
      </c>
      <c r="L102" s="5"/>
      <c r="M102" s="7">
        <f t="shared" si="4"/>
        <v>-1000</v>
      </c>
      <c r="N102" s="15"/>
    </row>
    <row r="103" spans="3:14" ht="10.5">
      <c r="C103" s="4">
        <f>_XLL.NEXTDATESEQ(C102,PeriodsInt)</f>
        <v>40330</v>
      </c>
      <c r="E103" s="11">
        <f>-_XLL.CON(C103,C104,DrawDate,RepDate,IntRate*SUM(K102),DayCount,PeriodsInt,1)</f>
        <v>-248.30208982317083</v>
      </c>
      <c r="F103" s="11">
        <f t="shared" si="3"/>
        <v>-751.6979101768292</v>
      </c>
      <c r="G103" s="15">
        <f aca="true" t="shared" si="6" ref="G103:G134">-RegPmt*($C103&lt;=RepDate)</f>
        <v>-1000</v>
      </c>
      <c r="H103" s="11"/>
      <c r="I103" s="12">
        <f aca="true" t="shared" si="7" ref="I103:I187">SUM(G103:H103)</f>
        <v>-1000</v>
      </c>
      <c r="J103" s="5"/>
      <c r="K103" s="15">
        <f aca="true" t="shared" si="8" ref="K103:K187">K102+F103</f>
        <v>47974.24982394003</v>
      </c>
      <c r="L103" s="5"/>
      <c r="M103" s="7">
        <f t="shared" si="4"/>
        <v>-1000</v>
      </c>
      <c r="N103" s="15"/>
    </row>
    <row r="104" spans="3:14" ht="10.5">
      <c r="C104" s="4">
        <f>_XLL.NEXTDATESEQ(C103,PeriodsInt)</f>
        <v>40360</v>
      </c>
      <c r="E104" s="11">
        <f>-_XLL.CON(C104,C105,DrawDate,RepDate,IntRate*SUM(K103),DayCount,PeriodsInt,1)</f>
        <v>-236.58534159751247</v>
      </c>
      <c r="F104" s="11">
        <f aca="true" t="shared" si="9" ref="F104:F187">G104-E104</f>
        <v>-763.4146584024875</v>
      </c>
      <c r="G104" s="15">
        <f t="shared" si="6"/>
        <v>-1000</v>
      </c>
      <c r="H104" s="11"/>
      <c r="I104" s="12">
        <f t="shared" si="7"/>
        <v>-1000</v>
      </c>
      <c r="J104" s="5"/>
      <c r="K104" s="15">
        <f t="shared" si="8"/>
        <v>47210.835165537545</v>
      </c>
      <c r="L104" s="5"/>
      <c r="M104" s="7">
        <f aca="true" t="shared" si="10" ref="M104:M188">I104</f>
        <v>-1000</v>
      </c>
      <c r="N104" s="15"/>
    </row>
    <row r="105" spans="3:14" ht="10.5">
      <c r="C105" s="4">
        <f>_XLL.NEXTDATESEQ(C104,PeriodsInt)</f>
        <v>40391</v>
      </c>
      <c r="E105" s="11">
        <f>-_XLL.CON(C105,C106,DrawDate,RepDate,IntRate*SUM(K104),DayCount,PeriodsInt,1)</f>
        <v>-240.5812422134242</v>
      </c>
      <c r="F105" s="11">
        <f t="shared" si="9"/>
        <v>-759.4187577865758</v>
      </c>
      <c r="G105" s="15">
        <f t="shared" si="6"/>
        <v>-1000</v>
      </c>
      <c r="H105" s="11"/>
      <c r="I105" s="12">
        <f t="shared" si="7"/>
        <v>-1000</v>
      </c>
      <c r="J105" s="5"/>
      <c r="K105" s="15">
        <f t="shared" si="8"/>
        <v>46451.41640775097</v>
      </c>
      <c r="L105" s="5"/>
      <c r="M105" s="7">
        <f t="shared" si="10"/>
        <v>-1000</v>
      </c>
      <c r="N105" s="15"/>
    </row>
    <row r="106" spans="3:14" ht="10.5">
      <c r="C106" s="4">
        <f>_XLL.NEXTDATESEQ(C105,PeriodsInt)</f>
        <v>40422</v>
      </c>
      <c r="E106" s="11">
        <f>-_XLL.CON(C106,C107,DrawDate,RepDate,IntRate*SUM(K105),DayCount,PeriodsInt,1)</f>
        <v>-236.71132744771725</v>
      </c>
      <c r="F106" s="11">
        <f t="shared" si="9"/>
        <v>-763.2886725522827</v>
      </c>
      <c r="G106" s="15">
        <f t="shared" si="6"/>
        <v>-1000</v>
      </c>
      <c r="H106" s="11"/>
      <c r="I106" s="12">
        <f t="shared" si="7"/>
        <v>-1000</v>
      </c>
      <c r="J106" s="5"/>
      <c r="K106" s="15">
        <f t="shared" si="8"/>
        <v>45688.12773519869</v>
      </c>
      <c r="L106" s="5"/>
      <c r="M106" s="7">
        <f t="shared" si="10"/>
        <v>-1000</v>
      </c>
      <c r="N106" s="15"/>
    </row>
    <row r="107" spans="3:14" ht="10.5">
      <c r="C107" s="4">
        <f>_XLL.NEXTDATESEQ(C106,PeriodsInt)</f>
        <v>40452</v>
      </c>
      <c r="E107" s="11">
        <f>-_XLL.CON(C107,C108,DrawDate,RepDate,IntRate*SUM(K106),DayCount,PeriodsInt,1)</f>
        <v>-225.31131485851404</v>
      </c>
      <c r="F107" s="11">
        <f t="shared" si="9"/>
        <v>-774.688685141486</v>
      </c>
      <c r="G107" s="15">
        <f t="shared" si="6"/>
        <v>-1000</v>
      </c>
      <c r="H107" s="11"/>
      <c r="I107" s="12">
        <f t="shared" si="7"/>
        <v>-1000</v>
      </c>
      <c r="J107" s="5"/>
      <c r="K107" s="15">
        <f t="shared" si="8"/>
        <v>44913.4390500572</v>
      </c>
      <c r="L107" s="5"/>
      <c r="M107" s="7">
        <f t="shared" si="10"/>
        <v>-1000</v>
      </c>
      <c r="N107" s="15"/>
    </row>
    <row r="108" spans="3:14" ht="10.5">
      <c r="C108" s="4">
        <f>_XLL.NEXTDATESEQ(C107,PeriodsInt)</f>
        <v>40483</v>
      </c>
      <c r="E108" s="11">
        <f>-_XLL.CON(C108,C109,DrawDate,RepDate,IntRate*SUM(K107),DayCount,PeriodsInt,1)</f>
        <v>-228.87396337837365</v>
      </c>
      <c r="F108" s="11">
        <f t="shared" si="9"/>
        <v>-771.1260366216263</v>
      </c>
      <c r="G108" s="15">
        <f t="shared" si="6"/>
        <v>-1000</v>
      </c>
      <c r="H108" s="11"/>
      <c r="I108" s="12">
        <f t="shared" si="7"/>
        <v>-1000</v>
      </c>
      <c r="J108" s="5"/>
      <c r="K108" s="15">
        <f t="shared" si="8"/>
        <v>44142.313013435574</v>
      </c>
      <c r="L108" s="5"/>
      <c r="M108" s="7">
        <f t="shared" si="10"/>
        <v>-1000</v>
      </c>
      <c r="N108" s="15"/>
    </row>
    <row r="109" spans="3:14" ht="10.5">
      <c r="C109" s="4">
        <f>_XLL.NEXTDATESEQ(C108,PeriodsInt)</f>
        <v>40513</v>
      </c>
      <c r="E109" s="11">
        <f>-_XLL.CON(C109,C110,DrawDate,RepDate,IntRate*SUM(K108),DayCount,PeriodsInt,1)</f>
        <v>-217.6881189703672</v>
      </c>
      <c r="F109" s="11">
        <f t="shared" si="9"/>
        <v>-782.3118810296328</v>
      </c>
      <c r="G109" s="15">
        <f t="shared" si="6"/>
        <v>-1000</v>
      </c>
      <c r="H109" s="11"/>
      <c r="I109" s="12">
        <f t="shared" si="7"/>
        <v>-1000</v>
      </c>
      <c r="J109" s="5"/>
      <c r="K109" s="15">
        <f t="shared" si="8"/>
        <v>43360.001132405945</v>
      </c>
      <c r="L109" s="5"/>
      <c r="M109" s="7">
        <f t="shared" si="10"/>
        <v>-1000</v>
      </c>
      <c r="N109" s="15"/>
    </row>
    <row r="110" spans="3:14" ht="10.5">
      <c r="C110" s="4">
        <f>_XLL.NEXTDATESEQ(C109,PeriodsInt)</f>
        <v>40544</v>
      </c>
      <c r="E110" s="11">
        <f>-_XLL.CON(C110,C111,DrawDate,RepDate,IntRate*SUM(K109),DayCount,PeriodsInt,1)</f>
        <v>-220.95781398979466</v>
      </c>
      <c r="F110" s="11">
        <f t="shared" si="9"/>
        <v>-779.0421860102053</v>
      </c>
      <c r="G110" s="15">
        <f t="shared" si="6"/>
        <v>-1000</v>
      </c>
      <c r="H110" s="11"/>
      <c r="I110" s="12">
        <f t="shared" si="7"/>
        <v>-1000</v>
      </c>
      <c r="J110" s="5"/>
      <c r="K110" s="15">
        <f t="shared" si="8"/>
        <v>42580.95894639574</v>
      </c>
      <c r="L110" s="5"/>
      <c r="M110" s="7">
        <f t="shared" si="10"/>
        <v>-1000</v>
      </c>
      <c r="N110" s="15"/>
    </row>
    <row r="111" spans="3:14" ht="10.5">
      <c r="C111" s="4">
        <f>_XLL.NEXTDATESEQ(C110,PeriodsInt)</f>
        <v>40575</v>
      </c>
      <c r="E111" s="11">
        <f>-_XLL.CON(C111,C112,DrawDate,RepDate,IntRate*SUM(K110),DayCount,PeriodsInt,1)</f>
        <v>-216.9879003843728</v>
      </c>
      <c r="F111" s="11">
        <f t="shared" si="9"/>
        <v>-783.0120996156272</v>
      </c>
      <c r="G111" s="15">
        <f t="shared" si="6"/>
        <v>-1000</v>
      </c>
      <c r="H111" s="11"/>
      <c r="I111" s="12">
        <f t="shared" si="7"/>
        <v>-1000</v>
      </c>
      <c r="J111" s="5"/>
      <c r="K111" s="15">
        <f t="shared" si="8"/>
        <v>41797.94684678011</v>
      </c>
      <c r="L111" s="5"/>
      <c r="M111" s="7">
        <f t="shared" si="10"/>
        <v>-1000</v>
      </c>
      <c r="N111" s="15"/>
    </row>
    <row r="112" spans="3:14" ht="10.5">
      <c r="C112" s="4">
        <f>_XLL.NEXTDATESEQ(C111,PeriodsInt)</f>
        <v>40603</v>
      </c>
      <c r="E112" s="11">
        <f>-_XLL.CON(C112,C113,DrawDate,RepDate,IntRate*SUM(K111),DayCount,PeriodsInt,1)</f>
        <v>-192.38507041805642</v>
      </c>
      <c r="F112" s="11">
        <f t="shared" si="9"/>
        <v>-807.6149295819436</v>
      </c>
      <c r="G112" s="15">
        <f t="shared" si="6"/>
        <v>-1000</v>
      </c>
      <c r="H112" s="11"/>
      <c r="I112" s="12">
        <f t="shared" si="7"/>
        <v>-1000</v>
      </c>
      <c r="J112" s="5"/>
      <c r="K112" s="15">
        <f t="shared" si="8"/>
        <v>40990.33191719817</v>
      </c>
      <c r="L112" s="5"/>
      <c r="M112" s="7">
        <f t="shared" si="10"/>
        <v>-1000</v>
      </c>
      <c r="N112" s="15"/>
    </row>
    <row r="113" spans="3:14" ht="10.5">
      <c r="C113" s="4">
        <f>_XLL.NEXTDATESEQ(C112,PeriodsInt)</f>
        <v>40634</v>
      </c>
      <c r="E113" s="11">
        <f>-_XLL.CON(C113,C114,DrawDate,RepDate,IntRate*SUM(K112),DayCount,PeriodsInt,1)</f>
        <v>-208.88223935887285</v>
      </c>
      <c r="F113" s="11">
        <f t="shared" si="9"/>
        <v>-791.1177606411271</v>
      </c>
      <c r="G113" s="15">
        <f t="shared" si="6"/>
        <v>-1000</v>
      </c>
      <c r="H113" s="11"/>
      <c r="I113" s="12">
        <f t="shared" si="7"/>
        <v>-1000</v>
      </c>
      <c r="J113" s="5"/>
      <c r="K113" s="15">
        <f t="shared" si="8"/>
        <v>40199.21415655704</v>
      </c>
      <c r="L113" s="5"/>
      <c r="M113" s="7">
        <f t="shared" si="10"/>
        <v>-1000</v>
      </c>
      <c r="N113" s="15"/>
    </row>
    <row r="114" spans="3:14" ht="10.5">
      <c r="C114" s="4">
        <f>_XLL.NEXTDATESEQ(C113,PeriodsInt)</f>
        <v>40664</v>
      </c>
      <c r="E114" s="11">
        <f>-_XLL.CON(C114,C115,DrawDate,RepDate,IntRate*SUM(K113),DayCount,PeriodsInt,1)</f>
        <v>-198.24269995014433</v>
      </c>
      <c r="F114" s="11">
        <f t="shared" si="9"/>
        <v>-801.7573000498556</v>
      </c>
      <c r="G114" s="15">
        <f t="shared" si="6"/>
        <v>-1000</v>
      </c>
      <c r="H114" s="11"/>
      <c r="I114" s="12">
        <f t="shared" si="7"/>
        <v>-1000</v>
      </c>
      <c r="J114" s="5"/>
      <c r="K114" s="15">
        <f t="shared" si="8"/>
        <v>39397.45685650719</v>
      </c>
      <c r="L114" s="5"/>
      <c r="M114" s="7">
        <f t="shared" si="10"/>
        <v>-1000</v>
      </c>
      <c r="N114" s="15"/>
    </row>
    <row r="115" spans="3:14" ht="10.5">
      <c r="C115" s="4">
        <f>_XLL.NEXTDATESEQ(C114,PeriodsInt)</f>
        <v>40695</v>
      </c>
      <c r="E115" s="11">
        <f>-_XLL.CON(C115,C116,DrawDate,RepDate,IntRate*SUM(K114),DayCount,PeriodsInt,1)</f>
        <v>-200.7651226112421</v>
      </c>
      <c r="F115" s="11">
        <f t="shared" si="9"/>
        <v>-799.2348773887579</v>
      </c>
      <c r="G115" s="15">
        <f t="shared" si="6"/>
        <v>-1000</v>
      </c>
      <c r="H115" s="11"/>
      <c r="I115" s="12">
        <f t="shared" si="7"/>
        <v>-1000</v>
      </c>
      <c r="J115" s="5"/>
      <c r="K115" s="15">
        <f t="shared" si="8"/>
        <v>38598.22197911843</v>
      </c>
      <c r="L115" s="5"/>
      <c r="M115" s="7">
        <f t="shared" si="10"/>
        <v>-1000</v>
      </c>
      <c r="N115" s="15"/>
    </row>
    <row r="116" spans="3:14" ht="10.5">
      <c r="C116" s="4">
        <f>_XLL.NEXTDATESEQ(C115,PeriodsInt)</f>
        <v>40725</v>
      </c>
      <c r="E116" s="11">
        <f>-_XLL.CON(C116,C117,DrawDate,RepDate,IntRate*SUM(K115),DayCount,PeriodsInt,1)</f>
        <v>-190.34739606140593</v>
      </c>
      <c r="F116" s="11">
        <f t="shared" si="9"/>
        <v>-809.6526039385941</v>
      </c>
      <c r="G116" s="15">
        <f t="shared" si="6"/>
        <v>-1000</v>
      </c>
      <c r="H116" s="11"/>
      <c r="I116" s="12">
        <f t="shared" si="7"/>
        <v>-1000</v>
      </c>
      <c r="J116" s="5"/>
      <c r="K116" s="15">
        <f t="shared" si="8"/>
        <v>37788.56937517984</v>
      </c>
      <c r="L116" s="5"/>
      <c r="M116" s="7">
        <f t="shared" si="10"/>
        <v>-1000</v>
      </c>
      <c r="N116" s="15"/>
    </row>
    <row r="117" spans="3:14" ht="10.5">
      <c r="C117" s="4">
        <f>_XLL.NEXTDATESEQ(C116,PeriodsInt)</f>
        <v>40756</v>
      </c>
      <c r="E117" s="11">
        <f>-_XLL.CON(C117,C118,DrawDate,RepDate,IntRate*SUM(K116),DayCount,PeriodsInt,1)</f>
        <v>-192.56640832283423</v>
      </c>
      <c r="F117" s="11">
        <f t="shared" si="9"/>
        <v>-807.4335916771657</v>
      </c>
      <c r="G117" s="15">
        <f t="shared" si="6"/>
        <v>-1000</v>
      </c>
      <c r="H117" s="11"/>
      <c r="I117" s="12">
        <f t="shared" si="7"/>
        <v>-1000</v>
      </c>
      <c r="J117" s="5"/>
      <c r="K117" s="15">
        <f t="shared" si="8"/>
        <v>36981.13578350267</v>
      </c>
      <c r="L117" s="5"/>
      <c r="M117" s="7">
        <f t="shared" si="10"/>
        <v>-1000</v>
      </c>
      <c r="N117" s="15"/>
    </row>
    <row r="118" spans="3:14" ht="10.5">
      <c r="C118" s="4">
        <f>_XLL.NEXTDATESEQ(C117,PeriodsInt)</f>
        <v>40787</v>
      </c>
      <c r="E118" s="11">
        <f>-_XLL.CON(C118,C119,DrawDate,RepDate,IntRate*SUM(K117),DayCount,PeriodsInt,1)</f>
        <v>-188.45181522552045</v>
      </c>
      <c r="F118" s="11">
        <f t="shared" si="9"/>
        <v>-811.5481847744795</v>
      </c>
      <c r="G118" s="15">
        <f t="shared" si="6"/>
        <v>-1000</v>
      </c>
      <c r="H118" s="11"/>
      <c r="I118" s="12">
        <f t="shared" si="7"/>
        <v>-1000</v>
      </c>
      <c r="J118" s="5"/>
      <c r="K118" s="15">
        <f t="shared" si="8"/>
        <v>36169.58759872819</v>
      </c>
      <c r="L118" s="5"/>
      <c r="M118" s="7">
        <f t="shared" si="10"/>
        <v>-1000</v>
      </c>
      <c r="N118" s="15"/>
    </row>
    <row r="119" spans="3:14" ht="10.5">
      <c r="C119" s="4">
        <f>_XLL.NEXTDATESEQ(C118,PeriodsInt)</f>
        <v>40817</v>
      </c>
      <c r="E119" s="11">
        <f>-_XLL.CON(C119,C120,DrawDate,RepDate,IntRate*SUM(K118),DayCount,PeriodsInt,1)</f>
        <v>-178.37056898002945</v>
      </c>
      <c r="F119" s="11">
        <f t="shared" si="9"/>
        <v>-821.6294310199705</v>
      </c>
      <c r="G119" s="15">
        <f t="shared" si="6"/>
        <v>-1000</v>
      </c>
      <c r="H119" s="11"/>
      <c r="I119" s="12">
        <f t="shared" si="7"/>
        <v>-1000</v>
      </c>
      <c r="J119" s="5"/>
      <c r="K119" s="15">
        <f t="shared" si="8"/>
        <v>35347.95816770822</v>
      </c>
      <c r="L119" s="5"/>
      <c r="M119" s="7">
        <f t="shared" si="10"/>
        <v>-1000</v>
      </c>
      <c r="N119" s="15"/>
    </row>
    <row r="120" spans="3:14" ht="10.5">
      <c r="C120" s="4">
        <f>_XLL.NEXTDATESEQ(C119,PeriodsInt)</f>
        <v>40848</v>
      </c>
      <c r="E120" s="11">
        <f>-_XLL.CON(C120,C121,DrawDate,RepDate,IntRate*SUM(K119),DayCount,PeriodsInt,1)</f>
        <v>-180.12932107380078</v>
      </c>
      <c r="F120" s="11">
        <f t="shared" si="9"/>
        <v>-819.8706789261992</v>
      </c>
      <c r="G120" s="15">
        <f t="shared" si="6"/>
        <v>-1000</v>
      </c>
      <c r="H120" s="11"/>
      <c r="I120" s="12">
        <f t="shared" si="7"/>
        <v>-1000</v>
      </c>
      <c r="J120" s="5"/>
      <c r="K120" s="15">
        <f t="shared" si="8"/>
        <v>34528.08748878202</v>
      </c>
      <c r="L120" s="5"/>
      <c r="M120" s="7">
        <f t="shared" si="10"/>
        <v>-1000</v>
      </c>
      <c r="N120" s="15"/>
    </row>
    <row r="121" spans="3:14" ht="10.5">
      <c r="C121" s="4">
        <f>_XLL.NEXTDATESEQ(C120,PeriodsInt)</f>
        <v>40878</v>
      </c>
      <c r="E121" s="11">
        <f>-_XLL.CON(C121,C122,DrawDate,RepDate,IntRate*SUM(K120),DayCount,PeriodsInt,1)</f>
        <v>-170.27549994467844</v>
      </c>
      <c r="F121" s="11">
        <f t="shared" si="9"/>
        <v>-829.7245000553215</v>
      </c>
      <c r="G121" s="15">
        <f t="shared" si="6"/>
        <v>-1000</v>
      </c>
      <c r="H121" s="11"/>
      <c r="I121" s="12">
        <f t="shared" si="7"/>
        <v>-1000</v>
      </c>
      <c r="J121" s="5"/>
      <c r="K121" s="15">
        <f t="shared" si="8"/>
        <v>33698.362988726694</v>
      </c>
      <c r="L121" s="5"/>
      <c r="M121" s="7">
        <f t="shared" si="10"/>
        <v>-1000</v>
      </c>
      <c r="N121" s="15"/>
    </row>
    <row r="122" spans="3:14" ht="10.5">
      <c r="C122" s="4">
        <f>_XLL.NEXTDATESEQ(C121,PeriodsInt)</f>
        <v>40909</v>
      </c>
      <c r="E122" s="11">
        <f>-_XLL.CON(C122,C123,DrawDate,RepDate,IntRate*SUM(K121),DayCount,PeriodsInt,1)</f>
        <v>-171.72316481926478</v>
      </c>
      <c r="F122" s="11">
        <f t="shared" si="9"/>
        <v>-828.2768351807352</v>
      </c>
      <c r="G122" s="15">
        <f t="shared" si="6"/>
        <v>-1000</v>
      </c>
      <c r="H122" s="11"/>
      <c r="I122" s="12">
        <f t="shared" si="7"/>
        <v>-1000</v>
      </c>
      <c r="J122" s="5"/>
      <c r="K122" s="15">
        <f t="shared" si="8"/>
        <v>32870.08615354596</v>
      </c>
      <c r="L122" s="5"/>
      <c r="M122" s="7">
        <f t="shared" si="10"/>
        <v>-1000</v>
      </c>
      <c r="N122" s="15"/>
    </row>
    <row r="123" spans="3:14" ht="10.5">
      <c r="C123" s="4">
        <f>_XLL.NEXTDATESEQ(C122,PeriodsInt)</f>
        <v>40940</v>
      </c>
      <c r="E123" s="11">
        <f>-_XLL.CON(C123,C124,DrawDate,RepDate,IntRate*SUM(K122),DayCount,PeriodsInt,1)</f>
        <v>-167.5023568372479</v>
      </c>
      <c r="F123" s="11">
        <f t="shared" si="9"/>
        <v>-832.4976431627521</v>
      </c>
      <c r="G123" s="15">
        <f t="shared" si="6"/>
        <v>-1000</v>
      </c>
      <c r="H123" s="11"/>
      <c r="I123" s="12">
        <f t="shared" si="7"/>
        <v>-1000</v>
      </c>
      <c r="J123" s="5"/>
      <c r="K123" s="15">
        <f t="shared" si="8"/>
        <v>32037.58851038321</v>
      </c>
      <c r="L123" s="5"/>
      <c r="M123" s="7">
        <f t="shared" si="10"/>
        <v>-1000</v>
      </c>
      <c r="N123" s="15"/>
    </row>
    <row r="124" spans="3:14" ht="10.5">
      <c r="C124" s="4">
        <f>_XLL.NEXTDATESEQ(C123,PeriodsInt)</f>
        <v>40969</v>
      </c>
      <c r="E124" s="11">
        <f>-_XLL.CON(C124,C125,DrawDate,RepDate,IntRate*SUM(K123),DayCount,PeriodsInt,1)</f>
        <v>-152.7271342686761</v>
      </c>
      <c r="F124" s="11">
        <f t="shared" si="9"/>
        <v>-847.2728657313239</v>
      </c>
      <c r="G124" s="15">
        <f t="shared" si="6"/>
        <v>-1000</v>
      </c>
      <c r="H124" s="11"/>
      <c r="I124" s="12">
        <f t="shared" si="7"/>
        <v>-1000</v>
      </c>
      <c r="J124" s="5"/>
      <c r="K124" s="15">
        <f t="shared" si="8"/>
        <v>31190.315644651888</v>
      </c>
      <c r="L124" s="5"/>
      <c r="M124" s="7">
        <f t="shared" si="10"/>
        <v>-1000</v>
      </c>
      <c r="N124" s="15"/>
    </row>
    <row r="125" spans="3:14" ht="10.5">
      <c r="C125" s="4">
        <f>_XLL.NEXTDATESEQ(C124,PeriodsInt)</f>
        <v>41000</v>
      </c>
      <c r="E125" s="11">
        <f>-_XLL.CON(C125,C126,DrawDate,RepDate,IntRate*SUM(K124),DayCount,PeriodsInt,1)</f>
        <v>-158.94243040836304</v>
      </c>
      <c r="F125" s="11">
        <f t="shared" si="9"/>
        <v>-841.0575695916369</v>
      </c>
      <c r="G125" s="15">
        <f t="shared" si="6"/>
        <v>-1000</v>
      </c>
      <c r="H125" s="11"/>
      <c r="I125" s="12">
        <f t="shared" si="7"/>
        <v>-1000</v>
      </c>
      <c r="J125" s="5"/>
      <c r="K125" s="15">
        <f t="shared" si="8"/>
        <v>30349.25807506025</v>
      </c>
      <c r="L125" s="5"/>
      <c r="M125" s="7">
        <f t="shared" si="10"/>
        <v>-1000</v>
      </c>
      <c r="N125" s="15"/>
    </row>
    <row r="126" spans="3:14" ht="10.5">
      <c r="C126" s="4">
        <f>_XLL.NEXTDATESEQ(C125,PeriodsInt)</f>
        <v>41030</v>
      </c>
      <c r="E126" s="11">
        <f>-_XLL.CON(C126,C127,DrawDate,RepDate,IntRate*SUM(K125),DayCount,PeriodsInt,1)</f>
        <v>-149.66757406879026</v>
      </c>
      <c r="F126" s="11">
        <f t="shared" si="9"/>
        <v>-850.3324259312097</v>
      </c>
      <c r="G126" s="15">
        <f t="shared" si="6"/>
        <v>-1000</v>
      </c>
      <c r="H126" s="11"/>
      <c r="I126" s="12">
        <f t="shared" si="7"/>
        <v>-1000</v>
      </c>
      <c r="J126" s="5"/>
      <c r="K126" s="15">
        <f t="shared" si="8"/>
        <v>29498.92564912904</v>
      </c>
      <c r="L126" s="5"/>
      <c r="M126" s="7">
        <f t="shared" si="10"/>
        <v>-1000</v>
      </c>
      <c r="N126" s="15"/>
    </row>
    <row r="127" spans="3:14" ht="10.5">
      <c r="C127" s="4">
        <f>_XLL.NEXTDATESEQ(C126,PeriodsInt)</f>
        <v>41061</v>
      </c>
      <c r="E127" s="11">
        <f>-_XLL.CON(C127,C128,DrawDate,RepDate,IntRate*SUM(K126),DayCount,PeriodsInt,1)</f>
        <v>-150.32329234898634</v>
      </c>
      <c r="F127" s="11">
        <f t="shared" si="9"/>
        <v>-849.6767076510137</v>
      </c>
      <c r="G127" s="15">
        <f t="shared" si="6"/>
        <v>-1000</v>
      </c>
      <c r="H127" s="11"/>
      <c r="I127" s="12">
        <f t="shared" si="7"/>
        <v>-1000</v>
      </c>
      <c r="J127" s="5"/>
      <c r="K127" s="15">
        <f t="shared" si="8"/>
        <v>28649.248941478025</v>
      </c>
      <c r="L127" s="5"/>
      <c r="M127" s="7">
        <f t="shared" si="10"/>
        <v>-1000</v>
      </c>
      <c r="N127" s="15"/>
    </row>
    <row r="128" spans="3:14" ht="10.5">
      <c r="C128" s="4">
        <f>_XLL.NEXTDATESEQ(C127,PeriodsInt)</f>
        <v>41091</v>
      </c>
      <c r="E128" s="11">
        <f>-_XLL.CON(C128,C129,DrawDate,RepDate,IntRate*SUM(K127),DayCount,PeriodsInt,1)</f>
        <v>-141.28396738263135</v>
      </c>
      <c r="F128" s="11">
        <f t="shared" si="9"/>
        <v>-858.7160326173687</v>
      </c>
      <c r="G128" s="15">
        <f t="shared" si="6"/>
        <v>-1000</v>
      </c>
      <c r="H128" s="11"/>
      <c r="I128" s="12">
        <f t="shared" si="7"/>
        <v>-1000</v>
      </c>
      <c r="J128" s="5"/>
      <c r="K128" s="15">
        <f t="shared" si="8"/>
        <v>27790.532908860656</v>
      </c>
      <c r="L128" s="5"/>
      <c r="M128" s="7">
        <f t="shared" si="10"/>
        <v>-1000</v>
      </c>
      <c r="N128" s="15"/>
    </row>
    <row r="129" spans="3:14" ht="10.5">
      <c r="C129" s="4">
        <f>_XLL.NEXTDATESEQ(C128,PeriodsInt)</f>
        <v>41122</v>
      </c>
      <c r="E129" s="11">
        <f>-_XLL.CON(C129,C130,DrawDate,RepDate,IntRate*SUM(K128),DayCount,PeriodsInt,1)</f>
        <v>-141.61751016570088</v>
      </c>
      <c r="F129" s="11">
        <f t="shared" si="9"/>
        <v>-858.3824898342991</v>
      </c>
      <c r="G129" s="15">
        <f t="shared" si="6"/>
        <v>-1000</v>
      </c>
      <c r="H129" s="11"/>
      <c r="I129" s="12">
        <f t="shared" si="7"/>
        <v>-1000</v>
      </c>
      <c r="J129" s="5"/>
      <c r="K129" s="15">
        <f t="shared" si="8"/>
        <v>26932.15041902636</v>
      </c>
      <c r="L129" s="5"/>
      <c r="M129" s="7">
        <f t="shared" si="10"/>
        <v>-1000</v>
      </c>
      <c r="N129" s="15"/>
    </row>
    <row r="130" spans="3:14" ht="10.5">
      <c r="C130" s="4">
        <f>_XLL.NEXTDATESEQ(C129,PeriodsInt)</f>
        <v>41153</v>
      </c>
      <c r="E130" s="11">
        <f>-_XLL.CON(C130,C131,DrawDate,RepDate,IntRate*SUM(K129),DayCount,PeriodsInt,1)</f>
        <v>-137.24328706681925</v>
      </c>
      <c r="F130" s="11">
        <f t="shared" si="9"/>
        <v>-862.7567129331808</v>
      </c>
      <c r="G130" s="15">
        <f t="shared" si="6"/>
        <v>-1000</v>
      </c>
      <c r="H130" s="11"/>
      <c r="I130" s="12">
        <f t="shared" si="7"/>
        <v>-1000</v>
      </c>
      <c r="J130" s="5"/>
      <c r="K130" s="15">
        <f t="shared" si="8"/>
        <v>26069.39370609318</v>
      </c>
      <c r="L130" s="5"/>
      <c r="M130" s="7">
        <f t="shared" si="10"/>
        <v>-1000</v>
      </c>
      <c r="N130" s="15"/>
    </row>
    <row r="131" spans="3:14" ht="10.5">
      <c r="C131" s="4">
        <f>_XLL.NEXTDATESEQ(C130,PeriodsInt)</f>
        <v>41183</v>
      </c>
      <c r="E131" s="11">
        <f>-_XLL.CON(C131,C132,DrawDate,RepDate,IntRate*SUM(K130),DayCount,PeriodsInt,1)</f>
        <v>-128.56139361908964</v>
      </c>
      <c r="F131" s="11">
        <f t="shared" si="9"/>
        <v>-871.4386063809104</v>
      </c>
      <c r="G131" s="15">
        <f t="shared" si="6"/>
        <v>-1000</v>
      </c>
      <c r="H131" s="11"/>
      <c r="I131" s="12">
        <f t="shared" si="7"/>
        <v>-1000</v>
      </c>
      <c r="J131" s="5"/>
      <c r="K131" s="15">
        <f t="shared" si="8"/>
        <v>25197.955099712268</v>
      </c>
      <c r="L131" s="5"/>
      <c r="M131" s="7">
        <f t="shared" si="10"/>
        <v>-1000</v>
      </c>
      <c r="N131" s="15"/>
    </row>
    <row r="132" spans="3:14" ht="10.5">
      <c r="C132" s="4">
        <f>_XLL.NEXTDATESEQ(C131,PeriodsInt)</f>
        <v>41214</v>
      </c>
      <c r="E132" s="11">
        <f>-_XLL.CON(C132,C133,DrawDate,RepDate,IntRate*SUM(K131),DayCount,PeriodsInt,1)</f>
        <v>-128.40601776839677</v>
      </c>
      <c r="F132" s="11">
        <f t="shared" si="9"/>
        <v>-871.5939822316033</v>
      </c>
      <c r="G132" s="15">
        <f t="shared" si="6"/>
        <v>-1000</v>
      </c>
      <c r="H132" s="11"/>
      <c r="I132" s="12">
        <f t="shared" si="7"/>
        <v>-1000</v>
      </c>
      <c r="J132" s="5"/>
      <c r="K132" s="15">
        <f t="shared" si="8"/>
        <v>24326.361117480665</v>
      </c>
      <c r="L132" s="5"/>
      <c r="M132" s="7">
        <f t="shared" si="10"/>
        <v>-1000</v>
      </c>
      <c r="N132" s="15"/>
    </row>
    <row r="133" spans="3:14" ht="10.5">
      <c r="C133" s="4">
        <f>_XLL.NEXTDATESEQ(C132,PeriodsInt)</f>
        <v>41244</v>
      </c>
      <c r="E133" s="11">
        <f>-_XLL.CON(C133,C134,DrawDate,RepDate,IntRate*SUM(K132),DayCount,PeriodsInt,1)</f>
        <v>-119.96561646976765</v>
      </c>
      <c r="F133" s="11">
        <f t="shared" si="9"/>
        <v>-880.0343835302324</v>
      </c>
      <c r="G133" s="15">
        <f t="shared" si="6"/>
        <v>-1000</v>
      </c>
      <c r="H133" s="11"/>
      <c r="I133" s="12">
        <f t="shared" si="7"/>
        <v>-1000</v>
      </c>
      <c r="J133" s="5"/>
      <c r="K133" s="15">
        <f t="shared" si="8"/>
        <v>23446.32673395043</v>
      </c>
      <c r="L133" s="5"/>
      <c r="M133" s="7">
        <f t="shared" si="10"/>
        <v>-1000</v>
      </c>
      <c r="N133" s="15"/>
    </row>
    <row r="134" spans="3:14" ht="10.5">
      <c r="C134" s="4">
        <f>_XLL.NEXTDATESEQ(C133,PeriodsInt)</f>
        <v>41275</v>
      </c>
      <c r="E134" s="11">
        <f>-_XLL.CON(C134,C135,DrawDate,RepDate,IntRate*SUM(K133),DayCount,PeriodsInt,1)</f>
        <v>-119.4799115757474</v>
      </c>
      <c r="F134" s="11">
        <f t="shared" si="9"/>
        <v>-880.5200884242527</v>
      </c>
      <c r="G134" s="15">
        <f t="shared" si="6"/>
        <v>-1000</v>
      </c>
      <c r="H134" s="11"/>
      <c r="I134" s="12">
        <f t="shared" si="7"/>
        <v>-1000</v>
      </c>
      <c r="J134" s="5"/>
      <c r="K134" s="15">
        <f t="shared" si="8"/>
        <v>22565.80664552618</v>
      </c>
      <c r="L134" s="5"/>
      <c r="M134" s="7">
        <f t="shared" si="10"/>
        <v>-1000</v>
      </c>
      <c r="N134" s="15"/>
    </row>
    <row r="135" spans="3:14" ht="10.5">
      <c r="C135" s="4">
        <f>_XLL.NEXTDATESEQ(C134,PeriodsInt)</f>
        <v>41306</v>
      </c>
      <c r="E135" s="11">
        <f>-_XLL.CON(C135,C136,DrawDate,RepDate,IntRate*SUM(K134),DayCount,PeriodsInt,1)</f>
        <v>-114.99287770048956</v>
      </c>
      <c r="F135" s="11">
        <f t="shared" si="9"/>
        <v>-885.0071222995105</v>
      </c>
      <c r="G135" s="15">
        <f aca="true" t="shared" si="11" ref="G135:G166">-RegPmt*($C135&lt;=RepDate)</f>
        <v>-1000</v>
      </c>
      <c r="H135" s="11"/>
      <c r="I135" s="12">
        <f t="shared" si="7"/>
        <v>-1000</v>
      </c>
      <c r="J135" s="5"/>
      <c r="K135" s="15">
        <f t="shared" si="8"/>
        <v>21680.79952322667</v>
      </c>
      <c r="L135" s="5"/>
      <c r="M135" s="7">
        <f t="shared" si="10"/>
        <v>-1000</v>
      </c>
      <c r="N135" s="15"/>
    </row>
    <row r="136" spans="3:14" ht="10.5">
      <c r="C136" s="4">
        <f>_XLL.NEXTDATESEQ(C135,PeriodsInt)</f>
        <v>41334</v>
      </c>
      <c r="E136" s="11">
        <f>-_XLL.CON(C136,C137,DrawDate,RepDate,IntRate*SUM(K135),DayCount,PeriodsInt,1)</f>
        <v>-99.79107725759124</v>
      </c>
      <c r="F136" s="11">
        <f t="shared" si="9"/>
        <v>-900.2089227424087</v>
      </c>
      <c r="G136" s="15">
        <f t="shared" si="11"/>
        <v>-1000</v>
      </c>
      <c r="H136" s="11"/>
      <c r="I136" s="12">
        <f t="shared" si="7"/>
        <v>-1000</v>
      </c>
      <c r="J136" s="5"/>
      <c r="K136" s="15">
        <f t="shared" si="8"/>
        <v>20780.59060048426</v>
      </c>
      <c r="L136" s="5"/>
      <c r="M136" s="7">
        <f t="shared" si="10"/>
        <v>-1000</v>
      </c>
      <c r="N136" s="15"/>
    </row>
    <row r="137" spans="3:14" ht="10.5">
      <c r="C137" s="4">
        <f>_XLL.NEXTDATESEQ(C136,PeriodsInt)</f>
        <v>41365</v>
      </c>
      <c r="E137" s="11">
        <f>-_XLL.CON(C137,C138,DrawDate,RepDate,IntRate*SUM(K136),DayCount,PeriodsInt,1)</f>
        <v>-105.89561237507048</v>
      </c>
      <c r="F137" s="11">
        <f t="shared" si="9"/>
        <v>-894.1043876249295</v>
      </c>
      <c r="G137" s="15">
        <f t="shared" si="11"/>
        <v>-1000</v>
      </c>
      <c r="H137" s="11"/>
      <c r="I137" s="12">
        <f t="shared" si="7"/>
        <v>-1000</v>
      </c>
      <c r="J137" s="5"/>
      <c r="K137" s="15">
        <f t="shared" si="8"/>
        <v>19886.486212859334</v>
      </c>
      <c r="L137" s="5"/>
      <c r="M137" s="7">
        <f t="shared" si="10"/>
        <v>-1000</v>
      </c>
      <c r="N137" s="15"/>
    </row>
    <row r="138" spans="3:14" ht="10.5">
      <c r="C138" s="4">
        <f>_XLL.NEXTDATESEQ(C137,PeriodsInt)</f>
        <v>41395</v>
      </c>
      <c r="E138" s="11">
        <f>-_XLL.CON(C138,C139,DrawDate,RepDate,IntRate*SUM(K137),DayCount,PeriodsInt,1)</f>
        <v>-98.07034296752546</v>
      </c>
      <c r="F138" s="11">
        <f t="shared" si="9"/>
        <v>-901.9296570324746</v>
      </c>
      <c r="G138" s="15">
        <f t="shared" si="11"/>
        <v>-1000</v>
      </c>
      <c r="H138" s="11"/>
      <c r="I138" s="12">
        <f t="shared" si="7"/>
        <v>-1000</v>
      </c>
      <c r="J138" s="5"/>
      <c r="K138" s="15">
        <f t="shared" si="8"/>
        <v>18984.55655582686</v>
      </c>
      <c r="L138" s="5"/>
      <c r="M138" s="7">
        <f t="shared" si="10"/>
        <v>-1000</v>
      </c>
      <c r="N138" s="15"/>
    </row>
    <row r="139" spans="3:14" ht="10.5">
      <c r="C139" s="4">
        <f>_XLL.NEXTDATESEQ(C138,PeriodsInt)</f>
        <v>41426</v>
      </c>
      <c r="E139" s="11">
        <f>-_XLL.CON(C139,C140,DrawDate,RepDate,IntRate*SUM(K138),DayCount,PeriodsInt,1)</f>
        <v>-96.7432197091451</v>
      </c>
      <c r="F139" s="11">
        <f t="shared" si="9"/>
        <v>-903.2567802908549</v>
      </c>
      <c r="G139" s="15">
        <f t="shared" si="11"/>
        <v>-1000</v>
      </c>
      <c r="H139" s="11"/>
      <c r="I139" s="12">
        <f t="shared" si="7"/>
        <v>-1000</v>
      </c>
      <c r="J139" s="5"/>
      <c r="K139" s="15">
        <f t="shared" si="8"/>
        <v>18081.299775536005</v>
      </c>
      <c r="L139" s="5"/>
      <c r="M139" s="7">
        <f t="shared" si="10"/>
        <v>-1000</v>
      </c>
      <c r="N139" s="15"/>
    </row>
    <row r="140" spans="3:14" ht="10.5">
      <c r="C140" s="4">
        <f>_XLL.NEXTDATESEQ(C139,PeriodsInt)</f>
        <v>41456</v>
      </c>
      <c r="E140" s="11">
        <f>-_XLL.CON(C140,C141,DrawDate,RepDate,IntRate*SUM(K139),DayCount,PeriodsInt,1)</f>
        <v>-89.16805368757481</v>
      </c>
      <c r="F140" s="11">
        <f t="shared" si="9"/>
        <v>-910.8319463124252</v>
      </c>
      <c r="G140" s="15">
        <f t="shared" si="11"/>
        <v>-1000</v>
      </c>
      <c r="H140" s="11"/>
      <c r="I140" s="12">
        <f t="shared" si="7"/>
        <v>-1000</v>
      </c>
      <c r="J140" s="5"/>
      <c r="K140" s="15">
        <f t="shared" si="8"/>
        <v>17170.46782922358</v>
      </c>
      <c r="L140" s="5"/>
      <c r="M140" s="7">
        <f t="shared" si="10"/>
        <v>-1000</v>
      </c>
      <c r="N140" s="15"/>
    </row>
    <row r="141" spans="3:14" ht="10.5">
      <c r="C141" s="4">
        <f>_XLL.NEXTDATESEQ(C140,PeriodsInt)</f>
        <v>41487</v>
      </c>
      <c r="E141" s="11">
        <f>-_XLL.CON(C141,C142,DrawDate,RepDate,IntRate*SUM(K140),DayCount,PeriodsInt,1)</f>
        <v>-87.49882236261878</v>
      </c>
      <c r="F141" s="11">
        <f t="shared" si="9"/>
        <v>-912.5011776373813</v>
      </c>
      <c r="G141" s="15">
        <f t="shared" si="11"/>
        <v>-1000</v>
      </c>
      <c r="H141" s="11"/>
      <c r="I141" s="12">
        <f t="shared" si="7"/>
        <v>-1000</v>
      </c>
      <c r="J141" s="5"/>
      <c r="K141" s="15">
        <f t="shared" si="8"/>
        <v>16257.966651586199</v>
      </c>
      <c r="L141" s="5"/>
      <c r="M141" s="7">
        <f t="shared" si="10"/>
        <v>-1000</v>
      </c>
      <c r="N141" s="15"/>
    </row>
    <row r="142" spans="3:14" ht="10.5">
      <c r="C142" s="4">
        <f>_XLL.NEXTDATESEQ(C141,PeriodsInt)</f>
        <v>41518</v>
      </c>
      <c r="E142" s="11">
        <f>-_XLL.CON(C142,C143,DrawDate,RepDate,IntRate*SUM(K141),DayCount,PeriodsInt,1)</f>
        <v>-82.84881636150774</v>
      </c>
      <c r="F142" s="11">
        <f t="shared" si="9"/>
        <v>-917.1511836384923</v>
      </c>
      <c r="G142" s="15">
        <f t="shared" si="11"/>
        <v>-1000</v>
      </c>
      <c r="H142" s="11"/>
      <c r="I142" s="12">
        <f t="shared" si="7"/>
        <v>-1000</v>
      </c>
      <c r="J142" s="5"/>
      <c r="K142" s="15">
        <f t="shared" si="8"/>
        <v>15340.815467947707</v>
      </c>
      <c r="L142" s="5"/>
      <c r="M142" s="7">
        <f t="shared" si="10"/>
        <v>-1000</v>
      </c>
      <c r="N142" s="15"/>
    </row>
    <row r="143" spans="3:14" ht="10.5">
      <c r="C143" s="4">
        <f>_XLL.NEXTDATESEQ(C142,PeriodsInt)</f>
        <v>41548</v>
      </c>
      <c r="E143" s="11">
        <f>-_XLL.CON(C143,C144,DrawDate,RepDate,IntRate*SUM(K142),DayCount,PeriodsInt,1)</f>
        <v>-75.65333655426265</v>
      </c>
      <c r="F143" s="11">
        <f t="shared" si="9"/>
        <v>-924.3466634457374</v>
      </c>
      <c r="G143" s="15">
        <f t="shared" si="11"/>
        <v>-1000</v>
      </c>
      <c r="H143" s="11"/>
      <c r="I143" s="12">
        <f t="shared" si="7"/>
        <v>-1000</v>
      </c>
      <c r="J143" s="5"/>
      <c r="K143" s="15">
        <f t="shared" si="8"/>
        <v>14416.468804501968</v>
      </c>
      <c r="L143" s="5"/>
      <c r="M143" s="7">
        <f t="shared" si="10"/>
        <v>-1000</v>
      </c>
      <c r="N143" s="15"/>
    </row>
    <row r="144" spans="3:14" ht="10.5">
      <c r="C144" s="4">
        <f>_XLL.NEXTDATESEQ(C143,PeriodsInt)</f>
        <v>41579</v>
      </c>
      <c r="E144" s="11">
        <f>-_XLL.CON(C144,C145,DrawDate,RepDate,IntRate*SUM(K143),DayCount,PeriodsInt,1)</f>
        <v>-73.46474514074976</v>
      </c>
      <c r="F144" s="11">
        <f t="shared" si="9"/>
        <v>-926.5352548592502</v>
      </c>
      <c r="G144" s="15">
        <f t="shared" si="11"/>
        <v>-1000</v>
      </c>
      <c r="H144" s="11"/>
      <c r="I144" s="12">
        <f t="shared" si="7"/>
        <v>-1000</v>
      </c>
      <c r="J144" s="5"/>
      <c r="K144" s="15">
        <f t="shared" si="8"/>
        <v>13489.933549642717</v>
      </c>
      <c r="L144" s="5"/>
      <c r="M144" s="7">
        <f t="shared" si="10"/>
        <v>-1000</v>
      </c>
      <c r="N144" s="15"/>
    </row>
    <row r="145" spans="3:14" ht="10.5">
      <c r="C145" s="4">
        <f>_XLL.NEXTDATESEQ(C144,PeriodsInt)</f>
        <v>41609</v>
      </c>
      <c r="E145" s="11">
        <f>-_XLL.CON(C145,C146,DrawDate,RepDate,IntRate*SUM(K144),DayCount,PeriodsInt,1)</f>
        <v>-66.52569969686819</v>
      </c>
      <c r="F145" s="11">
        <f t="shared" si="9"/>
        <v>-933.4743003031318</v>
      </c>
      <c r="G145" s="15">
        <f t="shared" si="11"/>
        <v>-1000</v>
      </c>
      <c r="H145" s="11"/>
      <c r="I145" s="12">
        <f t="shared" si="7"/>
        <v>-1000</v>
      </c>
      <c r="J145" s="5"/>
      <c r="K145" s="15">
        <f t="shared" si="8"/>
        <v>12556.459249339585</v>
      </c>
      <c r="L145" s="5"/>
      <c r="M145" s="7">
        <f t="shared" si="10"/>
        <v>-1000</v>
      </c>
      <c r="N145" s="15"/>
    </row>
    <row r="146" spans="3:14" ht="10.5">
      <c r="C146" s="4">
        <f>_XLL.NEXTDATESEQ(C145,PeriodsInt)</f>
        <v>41640</v>
      </c>
      <c r="E146" s="11">
        <f>-_XLL.CON(C146,C147,DrawDate,RepDate,IntRate*SUM(K145),DayCount,PeriodsInt,1)</f>
        <v>-63.986340284305825</v>
      </c>
      <c r="F146" s="11">
        <f t="shared" si="9"/>
        <v>-936.0136597156942</v>
      </c>
      <c r="G146" s="15">
        <f t="shared" si="11"/>
        <v>-1000</v>
      </c>
      <c r="H146" s="11"/>
      <c r="I146" s="12">
        <f t="shared" si="7"/>
        <v>-1000</v>
      </c>
      <c r="J146" s="5"/>
      <c r="K146" s="15">
        <f t="shared" si="8"/>
        <v>11620.44558962389</v>
      </c>
      <c r="L146" s="5"/>
      <c r="M146" s="7">
        <f t="shared" si="10"/>
        <v>-1000</v>
      </c>
      <c r="N146" s="15"/>
    </row>
    <row r="147" spans="3:14" ht="10.5">
      <c r="C147" s="4">
        <f>_XLL.NEXTDATESEQ(C146,PeriodsInt)</f>
        <v>41671</v>
      </c>
      <c r="E147" s="11">
        <f>-_XLL.CON(C147,C148,DrawDate,RepDate,IntRate*SUM(K146),DayCount,PeriodsInt,1)</f>
        <v>-59.21651725123407</v>
      </c>
      <c r="F147" s="11">
        <f t="shared" si="9"/>
        <v>-940.7834827487659</v>
      </c>
      <c r="G147" s="15">
        <f t="shared" si="11"/>
        <v>-1000</v>
      </c>
      <c r="H147" s="11"/>
      <c r="I147" s="12">
        <f t="shared" si="7"/>
        <v>-1000</v>
      </c>
      <c r="J147" s="5"/>
      <c r="K147" s="15">
        <f t="shared" si="8"/>
        <v>10679.662106875125</v>
      </c>
      <c r="L147" s="5"/>
      <c r="M147" s="7">
        <f t="shared" si="10"/>
        <v>-1000</v>
      </c>
      <c r="N147" s="15"/>
    </row>
    <row r="148" spans="3:14" ht="10.5">
      <c r="C148" s="4">
        <f>_XLL.NEXTDATESEQ(C147,PeriodsInt)</f>
        <v>41699</v>
      </c>
      <c r="E148" s="11">
        <f>-_XLL.CON(C148,C149,DrawDate,RepDate,IntRate*SUM(K147),DayCount,PeriodsInt,1)</f>
        <v>-49.15570503986359</v>
      </c>
      <c r="F148" s="11">
        <f t="shared" si="9"/>
        <v>-950.8442949601364</v>
      </c>
      <c r="G148" s="15">
        <f t="shared" si="11"/>
        <v>-1000</v>
      </c>
      <c r="H148" s="11"/>
      <c r="I148" s="12">
        <f t="shared" si="7"/>
        <v>-1000</v>
      </c>
      <c r="J148" s="5"/>
      <c r="K148" s="15">
        <f t="shared" si="8"/>
        <v>9728.817811914989</v>
      </c>
      <c r="L148" s="5"/>
      <c r="M148" s="7">
        <f t="shared" si="10"/>
        <v>-1000</v>
      </c>
      <c r="N148" s="15"/>
    </row>
    <row r="149" spans="3:14" ht="10.5">
      <c r="C149" s="4">
        <f>_XLL.NEXTDATESEQ(C148,PeriodsInt)</f>
        <v>41730</v>
      </c>
      <c r="E149" s="11">
        <f>-_XLL.CON(C149,C150,DrawDate,RepDate,IntRate*SUM(K148),DayCount,PeriodsInt,1)</f>
        <v>-49.57698939770378</v>
      </c>
      <c r="F149" s="11">
        <f t="shared" si="9"/>
        <v>-950.4230106022962</v>
      </c>
      <c r="G149" s="15">
        <f t="shared" si="11"/>
        <v>-1000</v>
      </c>
      <c r="H149" s="11"/>
      <c r="I149" s="12">
        <f t="shared" si="7"/>
        <v>-1000</v>
      </c>
      <c r="J149" s="5"/>
      <c r="K149" s="15">
        <f t="shared" si="8"/>
        <v>8778.394801312692</v>
      </c>
      <c r="L149" s="5"/>
      <c r="M149" s="7">
        <f t="shared" si="10"/>
        <v>-1000</v>
      </c>
      <c r="N149" s="15"/>
    </row>
    <row r="150" spans="3:14" ht="10.5">
      <c r="C150" s="4">
        <f>_XLL.NEXTDATESEQ(C149,PeriodsInt)</f>
        <v>41760</v>
      </c>
      <c r="E150" s="11">
        <f>-_XLL.CON(C150,C151,DrawDate,RepDate,IntRate*SUM(K149),DayCount,PeriodsInt,1)</f>
        <v>-43.290714088665325</v>
      </c>
      <c r="F150" s="11">
        <f t="shared" si="9"/>
        <v>-956.7092859113346</v>
      </c>
      <c r="G150" s="15">
        <f t="shared" si="11"/>
        <v>-1000</v>
      </c>
      <c r="H150" s="11"/>
      <c r="I150" s="12">
        <f t="shared" si="7"/>
        <v>-1000</v>
      </c>
      <c r="J150" s="5"/>
      <c r="K150" s="15">
        <f t="shared" si="8"/>
        <v>7821.685515401357</v>
      </c>
      <c r="L150" s="5"/>
      <c r="M150" s="7">
        <f t="shared" si="10"/>
        <v>-1000</v>
      </c>
      <c r="N150" s="15"/>
    </row>
    <row r="151" spans="3:14" ht="10.5">
      <c r="C151" s="4">
        <f>_XLL.NEXTDATESEQ(C150,PeriodsInt)</f>
        <v>41791</v>
      </c>
      <c r="E151" s="11">
        <f>-_XLL.CON(C151,C152,DrawDate,RepDate,IntRate*SUM(K150),DayCount,PeriodsInt,1)</f>
        <v>-39.858452215469924</v>
      </c>
      <c r="F151" s="11">
        <f t="shared" si="9"/>
        <v>-960.1415477845301</v>
      </c>
      <c r="G151" s="15">
        <f t="shared" si="11"/>
        <v>-1000</v>
      </c>
      <c r="H151" s="11"/>
      <c r="I151" s="12">
        <f t="shared" si="7"/>
        <v>-1000</v>
      </c>
      <c r="J151" s="5"/>
      <c r="K151" s="15">
        <f t="shared" si="8"/>
        <v>6861.543967616827</v>
      </c>
      <c r="L151" s="5"/>
      <c r="M151" s="7">
        <f t="shared" si="10"/>
        <v>-1000</v>
      </c>
      <c r="N151" s="15"/>
    </row>
    <row r="152" spans="3:14" ht="10.5">
      <c r="C152" s="4">
        <f>_XLL.NEXTDATESEQ(C151,PeriodsInt)</f>
        <v>41821</v>
      </c>
      <c r="E152" s="11">
        <f>-_XLL.CON(C152,C153,DrawDate,RepDate,IntRate*SUM(K151),DayCount,PeriodsInt,1)</f>
        <v>-33.83775107317887</v>
      </c>
      <c r="F152" s="11">
        <f t="shared" si="9"/>
        <v>-966.1622489268211</v>
      </c>
      <c r="G152" s="15">
        <f t="shared" si="11"/>
        <v>-1000</v>
      </c>
      <c r="H152" s="11"/>
      <c r="I152" s="12">
        <f t="shared" si="7"/>
        <v>-1000</v>
      </c>
      <c r="J152" s="5"/>
      <c r="K152" s="15">
        <f t="shared" si="8"/>
        <v>5895.381718690006</v>
      </c>
      <c r="L152" s="5"/>
      <c r="M152" s="7">
        <f t="shared" si="10"/>
        <v>-1000</v>
      </c>
      <c r="N152" s="15"/>
    </row>
    <row r="153" spans="3:14" ht="10.5">
      <c r="C153" s="4">
        <f>_XLL.NEXTDATESEQ(C152,PeriodsInt)</f>
        <v>41852</v>
      </c>
      <c r="E153" s="11">
        <f>-_XLL.CON(C153,C154,DrawDate,RepDate,IntRate*SUM(K152),DayCount,PeriodsInt,1)</f>
        <v>-30.042219169214825</v>
      </c>
      <c r="F153" s="11">
        <f t="shared" si="9"/>
        <v>-969.9577808307852</v>
      </c>
      <c r="G153" s="15">
        <f t="shared" si="11"/>
        <v>-1000</v>
      </c>
      <c r="H153" s="11"/>
      <c r="I153" s="12">
        <f t="shared" si="7"/>
        <v>-1000</v>
      </c>
      <c r="J153" s="5"/>
      <c r="K153" s="15">
        <f t="shared" si="8"/>
        <v>4925.423937859221</v>
      </c>
      <c r="L153" s="5"/>
      <c r="M153" s="7">
        <f t="shared" si="10"/>
        <v>-1000</v>
      </c>
      <c r="N153" s="15"/>
    </row>
    <row r="154" spans="3:14" ht="10.5">
      <c r="C154" s="4">
        <f>_XLL.NEXTDATESEQ(C153,PeriodsInt)</f>
        <v>41883</v>
      </c>
      <c r="E154" s="11">
        <f>-_XLL.CON(C154,C155,DrawDate,RepDate,IntRate*SUM(K153),DayCount,PeriodsInt,1)</f>
        <v>-25.09942061484425</v>
      </c>
      <c r="F154" s="11">
        <f t="shared" si="9"/>
        <v>-974.9005793851558</v>
      </c>
      <c r="G154" s="15">
        <f t="shared" si="11"/>
        <v>-1000</v>
      </c>
      <c r="H154" s="11"/>
      <c r="I154" s="12">
        <f t="shared" si="7"/>
        <v>-1000</v>
      </c>
      <c r="J154" s="5"/>
      <c r="K154" s="15">
        <f t="shared" si="8"/>
        <v>3950.5233584740654</v>
      </c>
      <c r="L154" s="5"/>
      <c r="M154" s="7">
        <f t="shared" si="10"/>
        <v>-1000</v>
      </c>
      <c r="N154" s="15"/>
    </row>
    <row r="155" spans="3:14" ht="10.5">
      <c r="C155" s="4">
        <f>_XLL.NEXTDATESEQ(C154,PeriodsInt)</f>
        <v>41913</v>
      </c>
      <c r="E155" s="11">
        <f>-_XLL.CON(C155,C156,DrawDate,RepDate,IntRate*SUM(K154),DayCount,PeriodsInt,1)</f>
        <v>-19.48203300069402</v>
      </c>
      <c r="F155" s="11">
        <f t="shared" si="9"/>
        <v>-980.5179669993059</v>
      </c>
      <c r="G155" s="15">
        <f t="shared" si="11"/>
        <v>-1000</v>
      </c>
      <c r="H155" s="11"/>
      <c r="I155" s="12">
        <f t="shared" si="7"/>
        <v>-1000</v>
      </c>
      <c r="J155" s="5"/>
      <c r="K155" s="15">
        <f t="shared" si="8"/>
        <v>2970.0053914747596</v>
      </c>
      <c r="L155" s="5"/>
      <c r="M155" s="7">
        <f t="shared" si="10"/>
        <v>-1000</v>
      </c>
      <c r="N155" s="15"/>
    </row>
    <row r="156" spans="3:14" ht="10.5">
      <c r="C156" s="4">
        <f>_XLL.NEXTDATESEQ(C155,PeriodsInt)</f>
        <v>41944</v>
      </c>
      <c r="E156" s="11">
        <f>-_XLL.CON(C156,C157,DrawDate,RepDate,IntRate*SUM(K155),DayCount,PeriodsInt,1)</f>
        <v>-15.134821994912473</v>
      </c>
      <c r="F156" s="11">
        <f t="shared" si="9"/>
        <v>-984.8651780050875</v>
      </c>
      <c r="G156" s="15">
        <f t="shared" si="11"/>
        <v>-1000</v>
      </c>
      <c r="H156" s="11"/>
      <c r="I156" s="12">
        <f t="shared" si="7"/>
        <v>-1000</v>
      </c>
      <c r="J156" s="5"/>
      <c r="K156" s="15">
        <f t="shared" si="8"/>
        <v>1985.140213469672</v>
      </c>
      <c r="L156" s="5"/>
      <c r="M156" s="7">
        <f t="shared" si="10"/>
        <v>-1000</v>
      </c>
      <c r="N156" s="15"/>
    </row>
    <row r="157" spans="3:14" ht="10.5">
      <c r="C157" s="4">
        <f>_XLL.NEXTDATESEQ(C156,PeriodsInt)</f>
        <v>41974</v>
      </c>
      <c r="E157" s="11">
        <f>-_XLL.CON(C157,C158,DrawDate,RepDate,IntRate*SUM(K156),DayCount,PeriodsInt,1)</f>
        <v>-9.789732559576464</v>
      </c>
      <c r="F157" s="11">
        <f aca="true" t="shared" si="12" ref="F157:F184">G157-E157</f>
        <v>-990.2102674404235</v>
      </c>
      <c r="G157" s="15">
        <f t="shared" si="11"/>
        <v>-1000</v>
      </c>
      <c r="H157" s="11"/>
      <c r="I157" s="12">
        <f aca="true" t="shared" si="13" ref="I157:I184">SUM(G157:H157)</f>
        <v>-1000</v>
      </c>
      <c r="J157" s="5"/>
      <c r="K157" s="15">
        <f aca="true" t="shared" si="14" ref="K157:K184">K156+F157</f>
        <v>994.9299460292485</v>
      </c>
      <c r="L157" s="5"/>
      <c r="M157" s="7">
        <f aca="true" t="shared" si="15" ref="M157:M184">I157</f>
        <v>-1000</v>
      </c>
      <c r="N157" s="15"/>
    </row>
    <row r="158" spans="3:14" ht="10.5">
      <c r="C158" s="4">
        <f>_XLL.NEXTDATESEQ(C157,PeriodsInt)</f>
        <v>42005</v>
      </c>
      <c r="E158" s="11">
        <f>-_XLL.CON(C158,C159,DrawDate,RepDate,IntRate*SUM(K157),DayCount,PeriodsInt,1)</f>
        <v>-5.070053971546307</v>
      </c>
      <c r="F158" s="11">
        <f t="shared" si="12"/>
        <v>-994.9299460284537</v>
      </c>
      <c r="G158" s="15">
        <f t="shared" si="11"/>
        <v>-1000</v>
      </c>
      <c r="H158" s="11"/>
      <c r="I158" s="12">
        <f t="shared" si="13"/>
        <v>-1000</v>
      </c>
      <c r="J158" s="5"/>
      <c r="K158" s="15">
        <f t="shared" si="14"/>
        <v>7.947846825118177E-10</v>
      </c>
      <c r="L158" s="5"/>
      <c r="M158" s="7">
        <f t="shared" si="15"/>
        <v>-1000</v>
      </c>
      <c r="N158" s="15"/>
    </row>
    <row r="159" spans="3:14" ht="10.5">
      <c r="C159" s="4">
        <f>_XLL.NEXTDATESEQ(C158,PeriodsInt)</f>
        <v>42036</v>
      </c>
      <c r="E159" s="11">
        <f>-_XLL.CON(C159,C160,DrawDate,RepDate,IntRate*SUM(K158),DayCount,PeriodsInt,1)</f>
        <v>0</v>
      </c>
      <c r="F159" s="11">
        <f t="shared" si="12"/>
        <v>0</v>
      </c>
      <c r="G159" s="15">
        <f t="shared" si="11"/>
        <v>0</v>
      </c>
      <c r="H159" s="11"/>
      <c r="I159" s="12">
        <f t="shared" si="13"/>
        <v>0</v>
      </c>
      <c r="J159" s="5"/>
      <c r="K159" s="15">
        <f t="shared" si="14"/>
        <v>7.947846825118177E-10</v>
      </c>
      <c r="L159" s="5"/>
      <c r="M159" s="7">
        <f t="shared" si="15"/>
        <v>0</v>
      </c>
      <c r="N159" s="15"/>
    </row>
    <row r="160" spans="3:14" ht="10.5">
      <c r="C160" s="4">
        <f>_XLL.NEXTDATESEQ(C159,PeriodsInt)</f>
        <v>42064</v>
      </c>
      <c r="E160" s="11">
        <f>-_XLL.CON(C160,C161,DrawDate,RepDate,IntRate*SUM(K159),DayCount,PeriodsInt,1)</f>
        <v>0</v>
      </c>
      <c r="F160" s="11">
        <f t="shared" si="12"/>
        <v>0</v>
      </c>
      <c r="G160" s="15">
        <f t="shared" si="11"/>
        <v>0</v>
      </c>
      <c r="H160" s="11"/>
      <c r="I160" s="12">
        <f t="shared" si="13"/>
        <v>0</v>
      </c>
      <c r="J160" s="5"/>
      <c r="K160" s="15">
        <f t="shared" si="14"/>
        <v>7.947846825118177E-10</v>
      </c>
      <c r="L160" s="5"/>
      <c r="M160" s="7">
        <f t="shared" si="15"/>
        <v>0</v>
      </c>
      <c r="N160" s="15"/>
    </row>
    <row r="161" spans="3:14" ht="10.5">
      <c r="C161" s="4">
        <f>_XLL.NEXTDATESEQ(C160,PeriodsInt)</f>
        <v>42095</v>
      </c>
      <c r="E161" s="11">
        <f>-_XLL.CON(C161,C162,DrawDate,RepDate,IntRate*SUM(K160),DayCount,PeriodsInt,1)</f>
        <v>0</v>
      </c>
      <c r="F161" s="11">
        <f t="shared" si="12"/>
        <v>0</v>
      </c>
      <c r="G161" s="15">
        <f t="shared" si="11"/>
        <v>0</v>
      </c>
      <c r="H161" s="11"/>
      <c r="I161" s="12">
        <f t="shared" si="13"/>
        <v>0</v>
      </c>
      <c r="J161" s="5"/>
      <c r="K161" s="15">
        <f t="shared" si="14"/>
        <v>7.947846825118177E-10</v>
      </c>
      <c r="L161" s="5"/>
      <c r="M161" s="7">
        <f t="shared" si="15"/>
        <v>0</v>
      </c>
      <c r="N161" s="15"/>
    </row>
    <row r="162" spans="3:14" ht="10.5">
      <c r="C162" s="4">
        <f>_XLL.NEXTDATESEQ(C161,PeriodsInt)</f>
        <v>42125</v>
      </c>
      <c r="E162" s="11">
        <f>-_XLL.CON(C162,C163,DrawDate,RepDate,IntRate*SUM(K161),DayCount,PeriodsInt,1)</f>
        <v>0</v>
      </c>
      <c r="F162" s="11">
        <f t="shared" si="12"/>
        <v>0</v>
      </c>
      <c r="G162" s="15">
        <f t="shared" si="11"/>
        <v>0</v>
      </c>
      <c r="H162" s="11"/>
      <c r="I162" s="12">
        <f t="shared" si="13"/>
        <v>0</v>
      </c>
      <c r="J162" s="5"/>
      <c r="K162" s="15">
        <f t="shared" si="14"/>
        <v>7.947846825118177E-10</v>
      </c>
      <c r="L162" s="5"/>
      <c r="M162" s="7">
        <f t="shared" si="15"/>
        <v>0</v>
      </c>
      <c r="N162" s="15"/>
    </row>
    <row r="163" spans="3:14" ht="10.5">
      <c r="C163" s="4">
        <f>_XLL.NEXTDATESEQ(C162,PeriodsInt)</f>
        <v>42156</v>
      </c>
      <c r="E163" s="11">
        <f>-_XLL.CON(C163,C164,DrawDate,RepDate,IntRate*SUM(K162),DayCount,PeriodsInt,1)</f>
        <v>0</v>
      </c>
      <c r="F163" s="11">
        <f t="shared" si="12"/>
        <v>0</v>
      </c>
      <c r="G163" s="15">
        <f t="shared" si="11"/>
        <v>0</v>
      </c>
      <c r="H163" s="11"/>
      <c r="I163" s="12">
        <f t="shared" si="13"/>
        <v>0</v>
      </c>
      <c r="J163" s="5"/>
      <c r="K163" s="15">
        <f t="shared" si="14"/>
        <v>7.947846825118177E-10</v>
      </c>
      <c r="L163" s="5"/>
      <c r="M163" s="7">
        <f t="shared" si="15"/>
        <v>0</v>
      </c>
      <c r="N163" s="15"/>
    </row>
    <row r="164" spans="3:14" ht="10.5">
      <c r="C164" s="4">
        <f>_XLL.NEXTDATESEQ(C163,PeriodsInt)</f>
        <v>42186</v>
      </c>
      <c r="E164" s="11">
        <f>-_XLL.CON(C164,C165,DrawDate,RepDate,IntRate*SUM(K163),DayCount,PeriodsInt,1)</f>
        <v>0</v>
      </c>
      <c r="F164" s="11">
        <f t="shared" si="12"/>
        <v>0</v>
      </c>
      <c r="G164" s="15">
        <f t="shared" si="11"/>
        <v>0</v>
      </c>
      <c r="H164" s="11"/>
      <c r="I164" s="12">
        <f t="shared" si="13"/>
        <v>0</v>
      </c>
      <c r="J164" s="5"/>
      <c r="K164" s="15">
        <f t="shared" si="14"/>
        <v>7.947846825118177E-10</v>
      </c>
      <c r="L164" s="5"/>
      <c r="M164" s="7">
        <f t="shared" si="15"/>
        <v>0</v>
      </c>
      <c r="N164" s="15"/>
    </row>
    <row r="165" spans="3:14" ht="10.5">
      <c r="C165" s="4">
        <f>_XLL.NEXTDATESEQ(C164,PeriodsInt)</f>
        <v>42217</v>
      </c>
      <c r="E165" s="11">
        <f>-_XLL.CON(C165,C166,DrawDate,RepDate,IntRate*SUM(K164),DayCount,PeriodsInt,1)</f>
        <v>0</v>
      </c>
      <c r="F165" s="11">
        <f t="shared" si="12"/>
        <v>0</v>
      </c>
      <c r="G165" s="15">
        <f t="shared" si="11"/>
        <v>0</v>
      </c>
      <c r="H165" s="11"/>
      <c r="I165" s="12">
        <f t="shared" si="13"/>
        <v>0</v>
      </c>
      <c r="J165" s="5"/>
      <c r="K165" s="15">
        <f t="shared" si="14"/>
        <v>7.947846825118177E-10</v>
      </c>
      <c r="L165" s="5"/>
      <c r="M165" s="7">
        <f t="shared" si="15"/>
        <v>0</v>
      </c>
      <c r="N165" s="15"/>
    </row>
    <row r="166" spans="3:14" ht="10.5">
      <c r="C166" s="4">
        <f>_XLL.NEXTDATESEQ(C165,PeriodsInt)</f>
        <v>42248</v>
      </c>
      <c r="E166" s="11">
        <f>-_XLL.CON(C166,C167,DrawDate,RepDate,IntRate*SUM(K165),DayCount,PeriodsInt,1)</f>
        <v>0</v>
      </c>
      <c r="F166" s="11">
        <f t="shared" si="12"/>
        <v>0</v>
      </c>
      <c r="G166" s="15">
        <f t="shared" si="11"/>
        <v>0</v>
      </c>
      <c r="H166" s="11"/>
      <c r="I166" s="12">
        <f t="shared" si="13"/>
        <v>0</v>
      </c>
      <c r="J166" s="5"/>
      <c r="K166" s="15">
        <f t="shared" si="14"/>
        <v>7.947846825118177E-10</v>
      </c>
      <c r="L166" s="5"/>
      <c r="M166" s="7">
        <f t="shared" si="15"/>
        <v>0</v>
      </c>
      <c r="N166" s="15"/>
    </row>
    <row r="167" spans="3:14" ht="10.5">
      <c r="C167" s="4">
        <f>_XLL.NEXTDATESEQ(C166,PeriodsInt)</f>
        <v>42278</v>
      </c>
      <c r="E167" s="11">
        <f>-_XLL.CON(C167,C168,DrawDate,RepDate,IntRate*SUM(K166),DayCount,PeriodsInt,1)</f>
        <v>0</v>
      </c>
      <c r="F167" s="11">
        <f t="shared" si="12"/>
        <v>0</v>
      </c>
      <c r="G167" s="15">
        <f aca="true" t="shared" si="16" ref="G167:G187">-RegPmt*($C167&lt;=RepDate)</f>
        <v>0</v>
      </c>
      <c r="H167" s="11"/>
      <c r="I167" s="12">
        <f t="shared" si="13"/>
        <v>0</v>
      </c>
      <c r="J167" s="5"/>
      <c r="K167" s="15">
        <f t="shared" si="14"/>
        <v>7.947846825118177E-10</v>
      </c>
      <c r="L167" s="5"/>
      <c r="M167" s="7">
        <f t="shared" si="15"/>
        <v>0</v>
      </c>
      <c r="N167" s="15"/>
    </row>
    <row r="168" spans="3:14" ht="10.5">
      <c r="C168" s="4">
        <f>_XLL.NEXTDATESEQ(C167,PeriodsInt)</f>
        <v>42309</v>
      </c>
      <c r="E168" s="11">
        <f>-_XLL.CON(C168,C169,DrawDate,RepDate,IntRate*SUM(K167),DayCount,PeriodsInt,1)</f>
        <v>0</v>
      </c>
      <c r="F168" s="11">
        <f t="shared" si="12"/>
        <v>0</v>
      </c>
      <c r="G168" s="15">
        <f t="shared" si="16"/>
        <v>0</v>
      </c>
      <c r="H168" s="11"/>
      <c r="I168" s="12">
        <f t="shared" si="13"/>
        <v>0</v>
      </c>
      <c r="J168" s="5"/>
      <c r="K168" s="15">
        <f t="shared" si="14"/>
        <v>7.947846825118177E-10</v>
      </c>
      <c r="L168" s="5"/>
      <c r="M168" s="7">
        <f t="shared" si="15"/>
        <v>0</v>
      </c>
      <c r="N168" s="15"/>
    </row>
    <row r="169" spans="3:14" ht="10.5">
      <c r="C169" s="4">
        <f>_XLL.NEXTDATESEQ(C168,PeriodsInt)</f>
        <v>42339</v>
      </c>
      <c r="E169" s="11">
        <f>-_XLL.CON(C169,C170,DrawDate,RepDate,IntRate*SUM(K168),DayCount,PeriodsInt,1)</f>
        <v>0</v>
      </c>
      <c r="F169" s="11">
        <f t="shared" si="12"/>
        <v>0</v>
      </c>
      <c r="G169" s="15">
        <f t="shared" si="16"/>
        <v>0</v>
      </c>
      <c r="H169" s="11"/>
      <c r="I169" s="12">
        <f t="shared" si="13"/>
        <v>0</v>
      </c>
      <c r="J169" s="5"/>
      <c r="K169" s="15">
        <f t="shared" si="14"/>
        <v>7.947846825118177E-10</v>
      </c>
      <c r="L169" s="5"/>
      <c r="M169" s="7">
        <f t="shared" si="15"/>
        <v>0</v>
      </c>
      <c r="N169" s="15"/>
    </row>
    <row r="170" spans="3:14" ht="10.5">
      <c r="C170" s="4">
        <f>_XLL.NEXTDATESEQ(C169,PeriodsInt)</f>
        <v>42370</v>
      </c>
      <c r="E170" s="11">
        <f>-_XLL.CON(C170,C171,DrawDate,RepDate,IntRate*SUM(K169),DayCount,PeriodsInt,1)</f>
        <v>0</v>
      </c>
      <c r="F170" s="11">
        <f t="shared" si="12"/>
        <v>0</v>
      </c>
      <c r="G170" s="15">
        <f t="shared" si="16"/>
        <v>0</v>
      </c>
      <c r="H170" s="11"/>
      <c r="I170" s="12">
        <f t="shared" si="13"/>
        <v>0</v>
      </c>
      <c r="J170" s="5"/>
      <c r="K170" s="15">
        <f t="shared" si="14"/>
        <v>7.947846825118177E-10</v>
      </c>
      <c r="L170" s="5"/>
      <c r="M170" s="7">
        <f t="shared" si="15"/>
        <v>0</v>
      </c>
      <c r="N170" s="15"/>
    </row>
    <row r="171" spans="3:14" ht="10.5">
      <c r="C171" s="4">
        <f>_XLL.NEXTDATESEQ(C170,PeriodsInt)</f>
        <v>42401</v>
      </c>
      <c r="E171" s="11">
        <f>-_XLL.CON(C171,C172,DrawDate,RepDate,IntRate*SUM(K170),DayCount,PeriodsInt,1)</f>
        <v>0</v>
      </c>
      <c r="F171" s="11">
        <f t="shared" si="12"/>
        <v>0</v>
      </c>
      <c r="G171" s="15">
        <f t="shared" si="16"/>
        <v>0</v>
      </c>
      <c r="H171" s="11"/>
      <c r="I171" s="12">
        <f t="shared" si="13"/>
        <v>0</v>
      </c>
      <c r="J171" s="5"/>
      <c r="K171" s="15">
        <f t="shared" si="14"/>
        <v>7.947846825118177E-10</v>
      </c>
      <c r="L171" s="5"/>
      <c r="M171" s="7">
        <f t="shared" si="15"/>
        <v>0</v>
      </c>
      <c r="N171" s="15"/>
    </row>
    <row r="172" spans="3:14" ht="10.5">
      <c r="C172" s="4">
        <f>_XLL.NEXTDATESEQ(C171,PeriodsInt)</f>
        <v>42430</v>
      </c>
      <c r="E172" s="11">
        <f>-_XLL.CON(C172,C173,DrawDate,RepDate,IntRate*SUM(K171),DayCount,PeriodsInt,1)</f>
        <v>0</v>
      </c>
      <c r="F172" s="11">
        <f t="shared" si="12"/>
        <v>0</v>
      </c>
      <c r="G172" s="15">
        <f t="shared" si="16"/>
        <v>0</v>
      </c>
      <c r="H172" s="11"/>
      <c r="I172" s="12">
        <f t="shared" si="13"/>
        <v>0</v>
      </c>
      <c r="J172" s="5"/>
      <c r="K172" s="15">
        <f t="shared" si="14"/>
        <v>7.947846825118177E-10</v>
      </c>
      <c r="L172" s="5"/>
      <c r="M172" s="7">
        <f t="shared" si="15"/>
        <v>0</v>
      </c>
      <c r="N172" s="15"/>
    </row>
    <row r="173" spans="3:14" ht="10.5">
      <c r="C173" s="4">
        <f>_XLL.NEXTDATESEQ(C172,PeriodsInt)</f>
        <v>42461</v>
      </c>
      <c r="E173" s="11">
        <f>-_XLL.CON(C173,C174,DrawDate,RepDate,IntRate*SUM(K172),DayCount,PeriodsInt,1)</f>
        <v>0</v>
      </c>
      <c r="F173" s="11">
        <f t="shared" si="12"/>
        <v>0</v>
      </c>
      <c r="G173" s="15">
        <f t="shared" si="16"/>
        <v>0</v>
      </c>
      <c r="H173" s="11"/>
      <c r="I173" s="12">
        <f t="shared" si="13"/>
        <v>0</v>
      </c>
      <c r="J173" s="5"/>
      <c r="K173" s="15">
        <f t="shared" si="14"/>
        <v>7.947846825118177E-10</v>
      </c>
      <c r="L173" s="5"/>
      <c r="M173" s="7">
        <f t="shared" si="15"/>
        <v>0</v>
      </c>
      <c r="N173" s="15"/>
    </row>
    <row r="174" spans="3:14" ht="10.5">
      <c r="C174" s="4">
        <f>_XLL.NEXTDATESEQ(C173,PeriodsInt)</f>
        <v>42491</v>
      </c>
      <c r="E174" s="11">
        <f>-_XLL.CON(C174,C175,DrawDate,RepDate,IntRate*SUM(K173),DayCount,PeriodsInt,1)</f>
        <v>0</v>
      </c>
      <c r="F174" s="11">
        <f t="shared" si="12"/>
        <v>0</v>
      </c>
      <c r="G174" s="15">
        <f t="shared" si="16"/>
        <v>0</v>
      </c>
      <c r="H174" s="11"/>
      <c r="I174" s="12">
        <f t="shared" si="13"/>
        <v>0</v>
      </c>
      <c r="J174" s="5"/>
      <c r="K174" s="15">
        <f t="shared" si="14"/>
        <v>7.947846825118177E-10</v>
      </c>
      <c r="L174" s="5"/>
      <c r="M174" s="7">
        <f t="shared" si="15"/>
        <v>0</v>
      </c>
      <c r="N174" s="15"/>
    </row>
    <row r="175" spans="3:14" ht="10.5">
      <c r="C175" s="4">
        <f>_XLL.NEXTDATESEQ(C174,PeriodsInt)</f>
        <v>42522</v>
      </c>
      <c r="E175" s="11">
        <f>-_XLL.CON(C175,C176,DrawDate,RepDate,IntRate*SUM(K174),DayCount,PeriodsInt,1)</f>
        <v>0</v>
      </c>
      <c r="F175" s="11">
        <f t="shared" si="12"/>
        <v>0</v>
      </c>
      <c r="G175" s="15">
        <f t="shared" si="16"/>
        <v>0</v>
      </c>
      <c r="H175" s="11"/>
      <c r="I175" s="12">
        <f t="shared" si="13"/>
        <v>0</v>
      </c>
      <c r="J175" s="5"/>
      <c r="K175" s="15">
        <f t="shared" si="14"/>
        <v>7.947846825118177E-10</v>
      </c>
      <c r="L175" s="5"/>
      <c r="M175" s="7">
        <f t="shared" si="15"/>
        <v>0</v>
      </c>
      <c r="N175" s="15"/>
    </row>
    <row r="176" spans="3:14" ht="10.5">
      <c r="C176" s="4">
        <f>_XLL.NEXTDATESEQ(C175,PeriodsInt)</f>
        <v>42552</v>
      </c>
      <c r="E176" s="11">
        <f>-_XLL.CON(C176,C177,DrawDate,RepDate,IntRate*SUM(K175),DayCount,PeriodsInt,1)</f>
        <v>0</v>
      </c>
      <c r="F176" s="11">
        <f t="shared" si="12"/>
        <v>0</v>
      </c>
      <c r="G176" s="15">
        <f t="shared" si="16"/>
        <v>0</v>
      </c>
      <c r="H176" s="11"/>
      <c r="I176" s="12">
        <f t="shared" si="13"/>
        <v>0</v>
      </c>
      <c r="J176" s="5"/>
      <c r="K176" s="15">
        <f t="shared" si="14"/>
        <v>7.947846825118177E-10</v>
      </c>
      <c r="L176" s="5"/>
      <c r="M176" s="7">
        <f t="shared" si="15"/>
        <v>0</v>
      </c>
      <c r="N176" s="15"/>
    </row>
    <row r="177" spans="3:14" ht="10.5">
      <c r="C177" s="4">
        <f>_XLL.NEXTDATESEQ(C176,PeriodsInt)</f>
        <v>42583</v>
      </c>
      <c r="E177" s="11">
        <f>-_XLL.CON(C177,C178,DrawDate,RepDate,IntRate*SUM(K176),DayCount,PeriodsInt,1)</f>
        <v>0</v>
      </c>
      <c r="F177" s="11">
        <f t="shared" si="12"/>
        <v>0</v>
      </c>
      <c r="G177" s="15">
        <f t="shared" si="16"/>
        <v>0</v>
      </c>
      <c r="H177" s="11"/>
      <c r="I177" s="12">
        <f t="shared" si="13"/>
        <v>0</v>
      </c>
      <c r="J177" s="5"/>
      <c r="K177" s="15">
        <f t="shared" si="14"/>
        <v>7.947846825118177E-10</v>
      </c>
      <c r="L177" s="5"/>
      <c r="M177" s="7">
        <f t="shared" si="15"/>
        <v>0</v>
      </c>
      <c r="N177" s="15"/>
    </row>
    <row r="178" spans="3:14" ht="10.5">
      <c r="C178" s="4">
        <f>_XLL.NEXTDATESEQ(C177,PeriodsInt)</f>
        <v>42614</v>
      </c>
      <c r="E178" s="11">
        <f>-_XLL.CON(C178,C179,DrawDate,RepDate,IntRate*SUM(K177),DayCount,PeriodsInt,1)</f>
        <v>0</v>
      </c>
      <c r="F178" s="11">
        <f t="shared" si="12"/>
        <v>0</v>
      </c>
      <c r="G178" s="15">
        <f t="shared" si="16"/>
        <v>0</v>
      </c>
      <c r="H178" s="11"/>
      <c r="I178" s="12">
        <f t="shared" si="13"/>
        <v>0</v>
      </c>
      <c r="J178" s="5"/>
      <c r="K178" s="15">
        <f t="shared" si="14"/>
        <v>7.947846825118177E-10</v>
      </c>
      <c r="L178" s="5"/>
      <c r="M178" s="7">
        <f t="shared" si="15"/>
        <v>0</v>
      </c>
      <c r="N178" s="15"/>
    </row>
    <row r="179" spans="3:14" ht="10.5">
      <c r="C179" s="4">
        <f>_XLL.NEXTDATESEQ(C178,PeriodsInt)</f>
        <v>42644</v>
      </c>
      <c r="E179" s="11">
        <f>-_XLL.CON(C179,C180,DrawDate,RepDate,IntRate*SUM(K178),DayCount,PeriodsInt,1)</f>
        <v>0</v>
      </c>
      <c r="F179" s="11">
        <f t="shared" si="12"/>
        <v>0</v>
      </c>
      <c r="G179" s="15">
        <f t="shared" si="16"/>
        <v>0</v>
      </c>
      <c r="H179" s="11"/>
      <c r="I179" s="12">
        <f t="shared" si="13"/>
        <v>0</v>
      </c>
      <c r="J179" s="5"/>
      <c r="K179" s="15">
        <f t="shared" si="14"/>
        <v>7.947846825118177E-10</v>
      </c>
      <c r="L179" s="5"/>
      <c r="M179" s="7">
        <f t="shared" si="15"/>
        <v>0</v>
      </c>
      <c r="N179" s="15"/>
    </row>
    <row r="180" spans="3:14" ht="10.5">
      <c r="C180" s="4">
        <f>_XLL.NEXTDATESEQ(C179,PeriodsInt)</f>
        <v>42675</v>
      </c>
      <c r="E180" s="11">
        <f>-_XLL.CON(C180,C181,DrawDate,RepDate,IntRate*SUM(K179),DayCount,PeriodsInt,1)</f>
        <v>0</v>
      </c>
      <c r="F180" s="11">
        <f t="shared" si="12"/>
        <v>0</v>
      </c>
      <c r="G180" s="15">
        <f t="shared" si="16"/>
        <v>0</v>
      </c>
      <c r="H180" s="11"/>
      <c r="I180" s="12">
        <f t="shared" si="13"/>
        <v>0</v>
      </c>
      <c r="J180" s="5"/>
      <c r="K180" s="15">
        <f t="shared" si="14"/>
        <v>7.947846825118177E-10</v>
      </c>
      <c r="L180" s="5"/>
      <c r="M180" s="7">
        <f t="shared" si="15"/>
        <v>0</v>
      </c>
      <c r="N180" s="15"/>
    </row>
    <row r="181" spans="3:14" ht="10.5">
      <c r="C181" s="4">
        <f>_XLL.NEXTDATESEQ(C180,PeriodsInt)</f>
        <v>42705</v>
      </c>
      <c r="E181" s="11">
        <f>-_XLL.CON(C181,C182,DrawDate,RepDate,IntRate*SUM(K180),DayCount,PeriodsInt,1)</f>
        <v>0</v>
      </c>
      <c r="F181" s="11">
        <f t="shared" si="12"/>
        <v>0</v>
      </c>
      <c r="G181" s="15">
        <f t="shared" si="16"/>
        <v>0</v>
      </c>
      <c r="H181" s="11"/>
      <c r="I181" s="12">
        <f t="shared" si="13"/>
        <v>0</v>
      </c>
      <c r="J181" s="5"/>
      <c r="K181" s="15">
        <f t="shared" si="14"/>
        <v>7.947846825118177E-10</v>
      </c>
      <c r="L181" s="5"/>
      <c r="M181" s="7">
        <f t="shared" si="15"/>
        <v>0</v>
      </c>
      <c r="N181" s="15"/>
    </row>
    <row r="182" spans="3:14" ht="10.5">
      <c r="C182" s="4">
        <f>_XLL.NEXTDATESEQ(C181,PeriodsInt)</f>
        <v>42736</v>
      </c>
      <c r="E182" s="11">
        <f>-_XLL.CON(C182,C183,DrawDate,RepDate,IntRate*SUM(K181),DayCount,PeriodsInt,1)</f>
        <v>0</v>
      </c>
      <c r="F182" s="11">
        <f t="shared" si="12"/>
        <v>0</v>
      </c>
      <c r="G182" s="15">
        <f t="shared" si="16"/>
        <v>0</v>
      </c>
      <c r="H182" s="11"/>
      <c r="I182" s="12">
        <f t="shared" si="13"/>
        <v>0</v>
      </c>
      <c r="J182" s="5"/>
      <c r="K182" s="15">
        <f t="shared" si="14"/>
        <v>7.947846825118177E-10</v>
      </c>
      <c r="L182" s="5"/>
      <c r="M182" s="7">
        <f t="shared" si="15"/>
        <v>0</v>
      </c>
      <c r="N182" s="15"/>
    </row>
    <row r="183" spans="3:14" ht="10.5">
      <c r="C183" s="4">
        <f>_XLL.NEXTDATESEQ(C182,PeriodsInt)</f>
        <v>42767</v>
      </c>
      <c r="E183" s="11">
        <f>-_XLL.CON(C183,C184,DrawDate,RepDate,IntRate*SUM(K182),DayCount,PeriodsInt,1)</f>
        <v>0</v>
      </c>
      <c r="F183" s="11">
        <f t="shared" si="12"/>
        <v>0</v>
      </c>
      <c r="G183" s="15">
        <f t="shared" si="16"/>
        <v>0</v>
      </c>
      <c r="H183" s="11"/>
      <c r="I183" s="12">
        <f t="shared" si="13"/>
        <v>0</v>
      </c>
      <c r="J183" s="5"/>
      <c r="K183" s="15">
        <f t="shared" si="14"/>
        <v>7.947846825118177E-10</v>
      </c>
      <c r="L183" s="5"/>
      <c r="M183" s="7">
        <f t="shared" si="15"/>
        <v>0</v>
      </c>
      <c r="N183" s="15"/>
    </row>
    <row r="184" spans="3:14" ht="10.5">
      <c r="C184" s="4">
        <f>_XLL.NEXTDATESEQ(C183,PeriodsInt)</f>
        <v>42795</v>
      </c>
      <c r="E184" s="11">
        <f>-_XLL.CON(C184,C185,DrawDate,RepDate,IntRate*SUM(K183),DayCount,PeriodsInt,1)</f>
        <v>0</v>
      </c>
      <c r="F184" s="11">
        <f t="shared" si="12"/>
        <v>0</v>
      </c>
      <c r="G184" s="15">
        <f t="shared" si="16"/>
        <v>0</v>
      </c>
      <c r="H184" s="11"/>
      <c r="I184" s="12">
        <f t="shared" si="13"/>
        <v>0</v>
      </c>
      <c r="J184" s="5"/>
      <c r="K184" s="15">
        <f t="shared" si="14"/>
        <v>7.947846825118177E-10</v>
      </c>
      <c r="L184" s="5"/>
      <c r="M184" s="7">
        <f t="shared" si="15"/>
        <v>0</v>
      </c>
      <c r="N184" s="15"/>
    </row>
    <row r="185" spans="3:14" ht="10.5">
      <c r="C185" s="4">
        <f>_XLL.NEXTDATESEQ(C184,PeriodsInt)</f>
        <v>42826</v>
      </c>
      <c r="E185" s="11">
        <f>-_XLL.CON(C185,C186,DrawDate,RepDate,IntRate*SUM(K184),DayCount,PeriodsInt,1)</f>
        <v>0</v>
      </c>
      <c r="F185" s="11">
        <f t="shared" si="9"/>
        <v>0</v>
      </c>
      <c r="G185" s="15">
        <f t="shared" si="16"/>
        <v>0</v>
      </c>
      <c r="H185" s="11"/>
      <c r="I185" s="12">
        <f t="shared" si="7"/>
        <v>0</v>
      </c>
      <c r="J185" s="5"/>
      <c r="K185" s="15">
        <f t="shared" si="8"/>
        <v>7.947846825118177E-10</v>
      </c>
      <c r="L185" s="5"/>
      <c r="M185" s="7">
        <f t="shared" si="10"/>
        <v>0</v>
      </c>
      <c r="N185" s="15"/>
    </row>
    <row r="186" spans="3:14" ht="10.5">
      <c r="C186" s="4">
        <f>_XLL.NEXTDATESEQ(C185,PeriodsInt)</f>
        <v>42856</v>
      </c>
      <c r="E186" s="11">
        <f>-_XLL.CON(C186,C187,DrawDate,RepDate,IntRate*SUM(K185),DayCount,PeriodsInt,1)</f>
        <v>0</v>
      </c>
      <c r="F186" s="11">
        <f t="shared" si="9"/>
        <v>0</v>
      </c>
      <c r="G186" s="15">
        <f t="shared" si="16"/>
        <v>0</v>
      </c>
      <c r="H186" s="11"/>
      <c r="I186" s="12">
        <f t="shared" si="7"/>
        <v>0</v>
      </c>
      <c r="J186" s="5"/>
      <c r="K186" s="15">
        <f t="shared" si="8"/>
        <v>7.947846825118177E-10</v>
      </c>
      <c r="L186" s="5"/>
      <c r="M186" s="7">
        <f t="shared" si="10"/>
        <v>0</v>
      </c>
      <c r="N186" s="15"/>
    </row>
    <row r="187" spans="3:14" ht="10.5">
      <c r="C187" s="4">
        <f>_XLL.NEXTDATESEQ(C186,PeriodsInt)</f>
        <v>42887</v>
      </c>
      <c r="E187" s="11">
        <f>-_XLL.CON(C187,C188,DrawDate,RepDate,IntRate*SUM(K186),DayCount,PeriodsInt,1)</f>
        <v>0</v>
      </c>
      <c r="F187" s="11">
        <f t="shared" si="9"/>
        <v>0</v>
      </c>
      <c r="G187" s="15">
        <f t="shared" si="16"/>
        <v>0</v>
      </c>
      <c r="H187" s="11"/>
      <c r="I187" s="12">
        <f t="shared" si="7"/>
        <v>0</v>
      </c>
      <c r="J187" s="5"/>
      <c r="K187" s="15">
        <f t="shared" si="8"/>
        <v>7.947846825118177E-10</v>
      </c>
      <c r="L187" s="5"/>
      <c r="M187" s="7">
        <f t="shared" si="10"/>
        <v>0</v>
      </c>
      <c r="N187" s="15"/>
    </row>
    <row r="188" spans="3:14" ht="10.5">
      <c r="C188" s="4">
        <f>_XLL.NEXTDATESEQ(C187,PeriodsInt)</f>
        <v>42917</v>
      </c>
      <c r="K188" s="5"/>
      <c r="L188" s="5"/>
      <c r="M188" s="7">
        <f t="shared" si="10"/>
        <v>0</v>
      </c>
      <c r="N188" s="15"/>
    </row>
    <row r="189" spans="5:13" ht="10.5">
      <c r="E189" s="5"/>
      <c r="F189" s="5"/>
      <c r="H189" s="5"/>
      <c r="I189" s="5"/>
      <c r="J189" s="5"/>
      <c r="K189" s="5"/>
      <c r="M189" s="5"/>
    </row>
    <row r="190" spans="5:13" ht="10.5">
      <c r="E190" s="5"/>
      <c r="F190" s="5"/>
      <c r="H190" s="5"/>
      <c r="I190" s="5"/>
      <c r="J190" s="5"/>
      <c r="K190" s="5"/>
      <c r="M190" s="5"/>
    </row>
    <row r="191" spans="5:13" ht="10.5">
      <c r="E191" s="5"/>
      <c r="F191" s="5"/>
      <c r="H191" s="5"/>
      <c r="I191" s="5"/>
      <c r="J191" s="5"/>
      <c r="K191" s="5"/>
      <c r="M191" s="5"/>
    </row>
    <row r="192" spans="5:13" ht="10.5">
      <c r="E192" s="5"/>
      <c r="F192" s="5"/>
      <c r="H192" s="5"/>
      <c r="I192" s="5"/>
      <c r="J192" s="5"/>
      <c r="K192" s="5"/>
      <c r="M192" s="5"/>
    </row>
    <row r="193" spans="5:13" ht="10.5">
      <c r="E193" s="5"/>
      <c r="F193" s="5"/>
      <c r="H193" s="5"/>
      <c r="I193" s="5"/>
      <c r="J193" s="5"/>
      <c r="K193" s="5"/>
      <c r="M193" s="5"/>
    </row>
    <row r="194" spans="5:13" ht="10.5">
      <c r="E194" s="5"/>
      <c r="F194" s="5"/>
      <c r="H194" s="5"/>
      <c r="I194" s="5"/>
      <c r="J194" s="5"/>
      <c r="K194" s="5"/>
      <c r="M194" s="5"/>
    </row>
    <row r="195" spans="5:13" ht="10.5">
      <c r="E195" s="5"/>
      <c r="F195" s="5"/>
      <c r="H195" s="5"/>
      <c r="I195" s="5"/>
      <c r="J195" s="5"/>
      <c r="K195" s="5"/>
      <c r="M195" s="5"/>
    </row>
    <row r="196" spans="5:13" ht="10.5">
      <c r="E196" s="5"/>
      <c r="F196" s="5"/>
      <c r="H196" s="5"/>
      <c r="I196" s="5"/>
      <c r="J196" s="5"/>
      <c r="K196" s="5"/>
      <c r="M196" s="5"/>
    </row>
    <row r="197" spans="5:13" ht="10.5">
      <c r="E197" s="5"/>
      <c r="F197" s="5"/>
      <c r="H197" s="5"/>
      <c r="I197" s="5"/>
      <c r="J197" s="5"/>
      <c r="K197" s="5"/>
      <c r="M197" s="5"/>
    </row>
    <row r="198" spans="5:13" ht="10.5">
      <c r="E198" s="5"/>
      <c r="F198" s="5"/>
      <c r="H198" s="5"/>
      <c r="I198" s="5"/>
      <c r="J198" s="5"/>
      <c r="K198" s="5"/>
      <c r="M198" s="5"/>
    </row>
    <row r="199" spans="5:13" ht="10.5">
      <c r="E199" s="5"/>
      <c r="F199" s="5"/>
      <c r="H199" s="5"/>
      <c r="I199" s="5"/>
      <c r="J199" s="5"/>
      <c r="K199" s="5"/>
      <c r="M199" s="5"/>
    </row>
    <row r="200" spans="5:13" ht="10.5">
      <c r="E200" s="5"/>
      <c r="F200" s="5"/>
      <c r="H200" s="5"/>
      <c r="I200" s="5"/>
      <c r="J200" s="5"/>
      <c r="K200" s="5"/>
      <c r="M200" s="5"/>
    </row>
    <row r="201" spans="5:13" ht="10.5">
      <c r="E201" s="5"/>
      <c r="F201" s="5"/>
      <c r="H201" s="5"/>
      <c r="I201" s="5"/>
      <c r="J201" s="5"/>
      <c r="K201" s="5"/>
      <c r="M201" s="5"/>
    </row>
    <row r="202" spans="5:13" ht="10.5">
      <c r="E202" s="5"/>
      <c r="F202" s="5"/>
      <c r="H202" s="5"/>
      <c r="I202" s="5"/>
      <c r="J202" s="5"/>
      <c r="K202" s="5"/>
      <c r="M202" s="5"/>
    </row>
    <row r="203" spans="5:13" ht="10.5">
      <c r="E203" s="5"/>
      <c r="F203" s="5"/>
      <c r="H203" s="5"/>
      <c r="I203" s="5"/>
      <c r="J203" s="5"/>
      <c r="K203" s="5"/>
      <c r="M203" s="5"/>
    </row>
    <row r="204" spans="5:13" ht="10.5">
      <c r="E204" s="5"/>
      <c r="F204" s="5"/>
      <c r="H204" s="5"/>
      <c r="I204" s="5"/>
      <c r="J204" s="5"/>
      <c r="K204" s="5"/>
      <c r="M204" s="5"/>
    </row>
    <row r="205" spans="5:13" ht="10.5">
      <c r="E205" s="5"/>
      <c r="F205" s="5"/>
      <c r="H205" s="5"/>
      <c r="I205" s="5"/>
      <c r="J205" s="5"/>
      <c r="K205" s="5"/>
      <c r="M205" s="5"/>
    </row>
    <row r="206" spans="5:13" ht="10.5">
      <c r="E206" s="5"/>
      <c r="F206" s="5"/>
      <c r="H206" s="5"/>
      <c r="I206" s="5"/>
      <c r="J206" s="5"/>
      <c r="K206" s="5"/>
      <c r="M206" s="5"/>
    </row>
    <row r="207" spans="5:13" ht="10.5">
      <c r="E207" s="5"/>
      <c r="F207" s="5"/>
      <c r="H207" s="5"/>
      <c r="I207" s="5"/>
      <c r="J207" s="5"/>
      <c r="K207" s="5"/>
      <c r="M207" s="5"/>
    </row>
    <row r="208" spans="5:13" ht="10.5">
      <c r="E208" s="5"/>
      <c r="F208" s="5"/>
      <c r="H208" s="5"/>
      <c r="I208" s="5"/>
      <c r="J208" s="5"/>
      <c r="K208" s="5"/>
      <c r="M208" s="5"/>
    </row>
    <row r="209" spans="5:13" ht="10.5">
      <c r="E209" s="5"/>
      <c r="F209" s="5"/>
      <c r="H209" s="5"/>
      <c r="I209" s="5"/>
      <c r="J209" s="5"/>
      <c r="K209" s="5"/>
      <c r="M209" s="5"/>
    </row>
    <row r="210" spans="5:13" ht="10.5">
      <c r="E210" s="5"/>
      <c r="F210" s="5"/>
      <c r="H210" s="5"/>
      <c r="I210" s="5"/>
      <c r="J210" s="5"/>
      <c r="K210" s="5"/>
      <c r="M210" s="5"/>
    </row>
    <row r="211" spans="5:13" ht="10.5">
      <c r="E211" s="5"/>
      <c r="F211" s="5"/>
      <c r="H211" s="5"/>
      <c r="I211" s="5"/>
      <c r="J211" s="5"/>
      <c r="K211" s="5"/>
      <c r="M211" s="5"/>
    </row>
    <row r="212" spans="5:13" ht="10.5">
      <c r="E212" s="5"/>
      <c r="F212" s="5"/>
      <c r="H212" s="5"/>
      <c r="I212" s="5"/>
      <c r="J212" s="5"/>
      <c r="K212" s="5"/>
      <c r="M212" s="5"/>
    </row>
    <row r="213" spans="5:13" ht="10.5">
      <c r="E213" s="5"/>
      <c r="F213" s="5"/>
      <c r="H213" s="5"/>
      <c r="I213" s="5"/>
      <c r="J213" s="5"/>
      <c r="K213" s="5"/>
      <c r="M213" s="5"/>
    </row>
    <row r="214" spans="5:13" ht="10.5">
      <c r="E214" s="5"/>
      <c r="F214" s="5"/>
      <c r="H214" s="5"/>
      <c r="I214" s="5"/>
      <c r="J214" s="5"/>
      <c r="K214" s="5"/>
      <c r="M214" s="5"/>
    </row>
    <row r="215" spans="5:13" ht="10.5">
      <c r="E215" s="5"/>
      <c r="F215" s="5"/>
      <c r="H215" s="5"/>
      <c r="I215" s="5"/>
      <c r="J215" s="5"/>
      <c r="K215" s="5"/>
      <c r="M215" s="5"/>
    </row>
    <row r="216" spans="5:13" ht="10.5">
      <c r="E216" s="5"/>
      <c r="F216" s="5"/>
      <c r="H216" s="5"/>
      <c r="I216" s="5"/>
      <c r="J216" s="5"/>
      <c r="K216" s="5"/>
      <c r="M216" s="5"/>
    </row>
    <row r="217" spans="5:13" ht="10.5">
      <c r="E217" s="5"/>
      <c r="F217" s="5"/>
      <c r="H217" s="5"/>
      <c r="I217" s="5"/>
      <c r="J217" s="5"/>
      <c r="K217" s="5"/>
      <c r="M217" s="5"/>
    </row>
    <row r="218" spans="5:11" ht="10.5">
      <c r="E218" s="5"/>
      <c r="F218" s="5"/>
      <c r="G218" s="5"/>
      <c r="H218" s="5"/>
      <c r="I218" s="5"/>
      <c r="J218" s="5"/>
      <c r="K218" s="5"/>
    </row>
    <row r="219" spans="5:11" ht="10.5">
      <c r="E219" s="5"/>
      <c r="F219" s="5"/>
      <c r="G219" s="5"/>
      <c r="H219" s="5"/>
      <c r="I219" s="5"/>
      <c r="J219" s="5"/>
      <c r="K219" s="5"/>
    </row>
    <row r="220" spans="5:11" ht="10.5">
      <c r="E220" s="5"/>
      <c r="F220" s="5"/>
      <c r="G220" s="5"/>
      <c r="H220" s="5"/>
      <c r="I220" s="5"/>
      <c r="J220" s="5"/>
      <c r="K220" s="5"/>
    </row>
    <row r="221" spans="5:11" ht="10.5">
      <c r="E221" s="5"/>
      <c r="F221" s="5"/>
      <c r="G221" s="5"/>
      <c r="H221" s="5"/>
      <c r="I221" s="5"/>
      <c r="J221" s="5"/>
      <c r="K221" s="5"/>
    </row>
    <row r="222" spans="5:11" ht="10.5">
      <c r="E222" s="5"/>
      <c r="F222" s="5"/>
      <c r="G222" s="5"/>
      <c r="H222" s="5"/>
      <c r="I222" s="5"/>
      <c r="J222" s="5"/>
      <c r="K222" s="5"/>
    </row>
    <row r="223" spans="5:11" ht="10.5">
      <c r="E223" s="5"/>
      <c r="F223" s="5"/>
      <c r="G223" s="5"/>
      <c r="H223" s="5"/>
      <c r="I223" s="5"/>
      <c r="J223" s="5"/>
      <c r="K223" s="5"/>
    </row>
    <row r="224" spans="5:11" ht="10.5">
      <c r="E224" s="5"/>
      <c r="F224" s="5"/>
      <c r="G224" s="5"/>
      <c r="H224" s="5"/>
      <c r="I224" s="5"/>
      <c r="J224" s="5"/>
      <c r="K224" s="5"/>
    </row>
    <row r="225" spans="5:11" ht="10.5">
      <c r="E225" s="5"/>
      <c r="F225" s="5"/>
      <c r="G225" s="5"/>
      <c r="H225" s="5"/>
      <c r="I225" s="5"/>
      <c r="J225" s="5"/>
      <c r="K225" s="5"/>
    </row>
    <row r="226" spans="5:11" ht="10.5">
      <c r="E226" s="5"/>
      <c r="F226" s="5"/>
      <c r="G226" s="5"/>
      <c r="H226" s="5"/>
      <c r="I226" s="5"/>
      <c r="J226" s="5"/>
      <c r="K226" s="5"/>
    </row>
    <row r="227" spans="5:11" ht="10.5">
      <c r="E227" s="5"/>
      <c r="F227" s="5"/>
      <c r="G227" s="5"/>
      <c r="H227" s="5"/>
      <c r="I227" s="5"/>
      <c r="J227" s="5"/>
      <c r="K227" s="5"/>
    </row>
    <row r="228" spans="5:11" ht="10.5">
      <c r="E228" s="5"/>
      <c r="F228" s="5"/>
      <c r="G228" s="5"/>
      <c r="H228" s="5"/>
      <c r="I228" s="5"/>
      <c r="J228" s="5"/>
      <c r="K228" s="5"/>
    </row>
    <row r="229" spans="5:11" ht="10.5">
      <c r="E229" s="5"/>
      <c r="F229" s="5"/>
      <c r="G229" s="5"/>
      <c r="H229" s="5"/>
      <c r="I229" s="5"/>
      <c r="J229" s="5"/>
      <c r="K229" s="5"/>
    </row>
    <row r="230" spans="5:11" ht="10.5">
      <c r="E230" s="5"/>
      <c r="F230" s="5"/>
      <c r="G230" s="5"/>
      <c r="H230" s="5"/>
      <c r="I230" s="5"/>
      <c r="J230" s="5"/>
      <c r="K230" s="5"/>
    </row>
    <row r="231" spans="5:11" ht="10.5">
      <c r="E231" s="5"/>
      <c r="F231" s="5"/>
      <c r="G231" s="5"/>
      <c r="H231" s="5"/>
      <c r="I231" s="5"/>
      <c r="J231" s="5"/>
      <c r="K231" s="5"/>
    </row>
    <row r="232" spans="5:11" ht="10.5">
      <c r="E232" s="5"/>
      <c r="F232" s="5"/>
      <c r="G232" s="5"/>
      <c r="H232" s="5"/>
      <c r="I232" s="5"/>
      <c r="J232" s="5"/>
      <c r="K232" s="5"/>
    </row>
    <row r="233" spans="5:11" ht="10.5">
      <c r="E233" s="5"/>
      <c r="F233" s="5"/>
      <c r="G233" s="5"/>
      <c r="H233" s="5"/>
      <c r="I233" s="5"/>
      <c r="J233" s="5"/>
      <c r="K233" s="5"/>
    </row>
    <row r="234" spans="5:11" ht="10.5">
      <c r="E234" s="5"/>
      <c r="F234" s="5"/>
      <c r="G234" s="5"/>
      <c r="H234" s="5"/>
      <c r="I234" s="5"/>
      <c r="J234" s="5"/>
      <c r="K234" s="5"/>
    </row>
    <row r="235" spans="5:11" ht="10.5">
      <c r="E235" s="5"/>
      <c r="F235" s="5"/>
      <c r="G235" s="5"/>
      <c r="H235" s="5"/>
      <c r="I235" s="5"/>
      <c r="J235" s="5"/>
      <c r="K235" s="5"/>
    </row>
    <row r="236" spans="5:11" ht="10.5">
      <c r="E236" s="5"/>
      <c r="F236" s="5"/>
      <c r="G236" s="5"/>
      <c r="H236" s="5"/>
      <c r="I236" s="5"/>
      <c r="J236" s="5"/>
      <c r="K236" s="5"/>
    </row>
    <row r="237" spans="5:11" ht="10.5">
      <c r="E237" s="5"/>
      <c r="F237" s="5"/>
      <c r="G237" s="5"/>
      <c r="H237" s="5"/>
      <c r="I237" s="5"/>
      <c r="J237" s="5"/>
      <c r="K237" s="5"/>
    </row>
    <row r="238" spans="5:11" ht="10.5">
      <c r="E238" s="5"/>
      <c r="F238" s="5"/>
      <c r="G238" s="5"/>
      <c r="H238" s="5"/>
      <c r="I238" s="5"/>
      <c r="J238" s="5"/>
      <c r="K238" s="5"/>
    </row>
    <row r="239" spans="5:11" ht="10.5">
      <c r="E239" s="5"/>
      <c r="F239" s="5"/>
      <c r="G239" s="5"/>
      <c r="H239" s="5"/>
      <c r="I239" s="5"/>
      <c r="J239" s="5"/>
      <c r="K239" s="5"/>
    </row>
    <row r="240" spans="5:11" ht="10.5">
      <c r="E240" s="5"/>
      <c r="F240" s="5"/>
      <c r="G240" s="5"/>
      <c r="H240" s="5"/>
      <c r="I240" s="5"/>
      <c r="J240" s="5"/>
      <c r="K240" s="5"/>
    </row>
    <row r="241" spans="5:11" ht="10.5">
      <c r="E241" s="5"/>
      <c r="F241" s="5"/>
      <c r="G241" s="5"/>
      <c r="H241" s="5"/>
      <c r="I241" s="5"/>
      <c r="J241" s="5"/>
      <c r="K241" s="5"/>
    </row>
    <row r="242" spans="5:11" ht="10.5">
      <c r="E242" s="5"/>
      <c r="F242" s="5"/>
      <c r="G242" s="5"/>
      <c r="H242" s="5"/>
      <c r="I242" s="5"/>
      <c r="J242" s="5"/>
      <c r="K242" s="5"/>
    </row>
    <row r="243" spans="5:11" ht="10.5">
      <c r="E243" s="5"/>
      <c r="F243" s="5"/>
      <c r="G243" s="5"/>
      <c r="H243" s="5"/>
      <c r="I243" s="5"/>
      <c r="J243" s="5"/>
      <c r="K243" s="5"/>
    </row>
    <row r="244" spans="5:11" ht="10.5">
      <c r="E244" s="5"/>
      <c r="F244" s="5"/>
      <c r="G244" s="5"/>
      <c r="H244" s="5"/>
      <c r="I244" s="5"/>
      <c r="J244" s="5"/>
      <c r="K244" s="5"/>
    </row>
    <row r="245" spans="5:11" ht="10.5">
      <c r="E245" s="5"/>
      <c r="F245" s="5"/>
      <c r="G245" s="5"/>
      <c r="H245" s="5"/>
      <c r="I245" s="5"/>
      <c r="J245" s="5"/>
      <c r="K245" s="5"/>
    </row>
    <row r="246" spans="5:11" ht="10.5">
      <c r="E246" s="5"/>
      <c r="F246" s="5"/>
      <c r="G246" s="5"/>
      <c r="H246" s="5"/>
      <c r="I246" s="5"/>
      <c r="J246" s="5"/>
      <c r="K246" s="5"/>
    </row>
    <row r="247" spans="5:11" ht="10.5">
      <c r="E247" s="5"/>
      <c r="F247" s="5"/>
      <c r="G247" s="5"/>
      <c r="H247" s="5"/>
      <c r="I247" s="5"/>
      <c r="J247" s="5"/>
      <c r="K247" s="5"/>
    </row>
    <row r="248" spans="5:11" ht="10.5">
      <c r="E248" s="5"/>
      <c r="F248" s="5"/>
      <c r="G248" s="5"/>
      <c r="H248" s="5"/>
      <c r="I248" s="5"/>
      <c r="J248" s="5"/>
      <c r="K248" s="5"/>
    </row>
    <row r="249" spans="5:11" ht="10.5">
      <c r="E249" s="5"/>
      <c r="F249" s="5"/>
      <c r="G249" s="5"/>
      <c r="H249" s="5"/>
      <c r="I249" s="5"/>
      <c r="J249" s="5"/>
      <c r="K249" s="5"/>
    </row>
    <row r="250" spans="5:11" ht="10.5">
      <c r="E250" s="5"/>
      <c r="F250" s="5"/>
      <c r="G250" s="5"/>
      <c r="H250" s="5"/>
      <c r="I250" s="5"/>
      <c r="J250" s="5"/>
      <c r="K250" s="5"/>
    </row>
    <row r="251" spans="5:11" ht="10.5">
      <c r="E251" s="5"/>
      <c r="F251" s="5"/>
      <c r="G251" s="5"/>
      <c r="H251" s="5"/>
      <c r="I251" s="5"/>
      <c r="J251" s="5"/>
      <c r="K251" s="5"/>
    </row>
    <row r="252" spans="5:11" ht="10.5">
      <c r="E252" s="5"/>
      <c r="F252" s="5"/>
      <c r="G252" s="5"/>
      <c r="H252" s="5"/>
      <c r="I252" s="5"/>
      <c r="J252" s="5"/>
      <c r="K252" s="5"/>
    </row>
    <row r="253" spans="5:11" ht="10.5">
      <c r="E253" s="5"/>
      <c r="F253" s="5"/>
      <c r="G253" s="5"/>
      <c r="H253" s="5"/>
      <c r="I253" s="5"/>
      <c r="J253" s="5"/>
      <c r="K253" s="5"/>
    </row>
    <row r="254" spans="5:11" ht="10.5">
      <c r="E254" s="5"/>
      <c r="F254" s="5"/>
      <c r="G254" s="5"/>
      <c r="H254" s="5"/>
      <c r="I254" s="5"/>
      <c r="J254" s="5"/>
      <c r="K254" s="5"/>
    </row>
    <row r="255" spans="5:11" ht="10.5">
      <c r="E255" s="5"/>
      <c r="F255" s="5"/>
      <c r="G255" s="5"/>
      <c r="H255" s="5"/>
      <c r="I255" s="5"/>
      <c r="J255" s="5"/>
      <c r="K255" s="5"/>
    </row>
    <row r="256" spans="5:11" ht="10.5">
      <c r="E256" s="5"/>
      <c r="F256" s="5"/>
      <c r="G256" s="5"/>
      <c r="H256" s="5"/>
      <c r="I256" s="5"/>
      <c r="J256" s="5"/>
      <c r="K256" s="5"/>
    </row>
    <row r="257" spans="5:11" ht="10.5">
      <c r="E257" s="5"/>
      <c r="F257" s="5"/>
      <c r="G257" s="5"/>
      <c r="H257" s="5"/>
      <c r="I257" s="5"/>
      <c r="J257" s="5"/>
      <c r="K257" s="5"/>
    </row>
    <row r="258" spans="5:11" ht="10.5">
      <c r="E258" s="5"/>
      <c r="F258" s="5"/>
      <c r="G258" s="5"/>
      <c r="H258" s="5"/>
      <c r="I258" s="5"/>
      <c r="J258" s="5"/>
      <c r="K258" s="5"/>
    </row>
    <row r="259" spans="5:11" ht="10.5">
      <c r="E259" s="5"/>
      <c r="F259" s="5"/>
      <c r="G259" s="5"/>
      <c r="H259" s="5"/>
      <c r="I259" s="5"/>
      <c r="J259" s="5"/>
      <c r="K259" s="5"/>
    </row>
    <row r="260" spans="5:11" ht="10.5">
      <c r="E260" s="5"/>
      <c r="F260" s="5"/>
      <c r="G260" s="5"/>
      <c r="H260" s="5"/>
      <c r="I260" s="5"/>
      <c r="J260" s="5"/>
      <c r="K260" s="5"/>
    </row>
    <row r="261" spans="5:11" ht="10.5">
      <c r="E261" s="5"/>
      <c r="F261" s="5"/>
      <c r="G261" s="5"/>
      <c r="H261" s="5"/>
      <c r="I261" s="5"/>
      <c r="J261" s="5"/>
      <c r="K261" s="5"/>
    </row>
    <row r="262" spans="5:11" ht="10.5">
      <c r="E262" s="5"/>
      <c r="F262" s="5"/>
      <c r="G262" s="5"/>
      <c r="H262" s="5"/>
      <c r="I262" s="5"/>
      <c r="J262" s="5"/>
      <c r="K262" s="5"/>
    </row>
    <row r="263" spans="5:11" ht="10.5">
      <c r="E263" s="5"/>
      <c r="F263" s="5"/>
      <c r="G263" s="5"/>
      <c r="H263" s="5"/>
      <c r="I263" s="5"/>
      <c r="J263" s="5"/>
      <c r="K263" s="5"/>
    </row>
    <row r="264" spans="5:11" ht="10.5">
      <c r="E264" s="5"/>
      <c r="F264" s="5"/>
      <c r="G264" s="5"/>
      <c r="H264" s="5"/>
      <c r="I264" s="5"/>
      <c r="J264" s="5"/>
      <c r="K264" s="5"/>
    </row>
    <row r="265" spans="5:11" ht="10.5">
      <c r="E265" s="5"/>
      <c r="F265" s="5"/>
      <c r="G265" s="5"/>
      <c r="H265" s="5"/>
      <c r="I265" s="5"/>
      <c r="J265" s="5"/>
      <c r="K265" s="5"/>
    </row>
    <row r="266" spans="5:11" ht="10.5">
      <c r="E266" s="5"/>
      <c r="F266" s="5"/>
      <c r="G266" s="5"/>
      <c r="H266" s="5"/>
      <c r="I266" s="5"/>
      <c r="J266" s="5"/>
      <c r="K266" s="5"/>
    </row>
    <row r="267" spans="5:11" ht="10.5">
      <c r="E267" s="5"/>
      <c r="F267" s="5"/>
      <c r="G267" s="5"/>
      <c r="H267" s="5"/>
      <c r="I267" s="5"/>
      <c r="J267" s="5"/>
      <c r="K267" s="5"/>
    </row>
    <row r="268" spans="5:11" ht="10.5">
      <c r="E268" s="5"/>
      <c r="F268" s="5"/>
      <c r="G268" s="5"/>
      <c r="H268" s="5"/>
      <c r="I268" s="5"/>
      <c r="J268" s="5"/>
      <c r="K268" s="5"/>
    </row>
    <row r="269" spans="5:11" ht="10.5">
      <c r="E269" s="5"/>
      <c r="F269" s="5"/>
      <c r="G269" s="5"/>
      <c r="H269" s="5"/>
      <c r="I269" s="5"/>
      <c r="J269" s="5"/>
      <c r="K269" s="5"/>
    </row>
    <row r="270" spans="5:11" ht="10.5">
      <c r="E270" s="5"/>
      <c r="F270" s="5"/>
      <c r="G270" s="5"/>
      <c r="H270" s="5"/>
      <c r="I270" s="5"/>
      <c r="J270" s="5"/>
      <c r="K270" s="5"/>
    </row>
    <row r="271" spans="5:11" ht="10.5">
      <c r="E271" s="5"/>
      <c r="F271" s="5"/>
      <c r="G271" s="5"/>
      <c r="H271" s="5"/>
      <c r="I271" s="5"/>
      <c r="J271" s="5"/>
      <c r="K271" s="5"/>
    </row>
    <row r="272" spans="5:11" ht="10.5">
      <c r="E272" s="5"/>
      <c r="F272" s="5"/>
      <c r="G272" s="5"/>
      <c r="H272" s="5"/>
      <c r="I272" s="5"/>
      <c r="J272" s="5"/>
      <c r="K272" s="5"/>
    </row>
    <row r="273" spans="5:11" ht="10.5">
      <c r="E273" s="5"/>
      <c r="F273" s="5"/>
      <c r="G273" s="5"/>
      <c r="H273" s="5"/>
      <c r="I273" s="5"/>
      <c r="J273" s="5"/>
      <c r="K273" s="5"/>
    </row>
    <row r="274" spans="5:11" ht="10.5">
      <c r="E274" s="5"/>
      <c r="F274" s="5"/>
      <c r="G274" s="5"/>
      <c r="H274" s="5"/>
      <c r="I274" s="5"/>
      <c r="J274" s="5"/>
      <c r="K274" s="5"/>
    </row>
    <row r="275" spans="5:11" ht="10.5">
      <c r="E275" s="5"/>
      <c r="F275" s="5"/>
      <c r="G275" s="5"/>
      <c r="H275" s="5"/>
      <c r="I275" s="5"/>
      <c r="J275" s="5"/>
      <c r="K275" s="5"/>
    </row>
    <row r="276" spans="5:11" ht="10.5">
      <c r="E276" s="5"/>
      <c r="F276" s="5"/>
      <c r="G276" s="5"/>
      <c r="H276" s="5"/>
      <c r="I276" s="5"/>
      <c r="J276" s="5"/>
      <c r="K276" s="5"/>
    </row>
    <row r="277" spans="5:11" ht="10.5">
      <c r="E277" s="5"/>
      <c r="F277" s="5"/>
      <c r="G277" s="5"/>
      <c r="H277" s="5"/>
      <c r="I277" s="5"/>
      <c r="J277" s="5"/>
      <c r="K277" s="5"/>
    </row>
    <row r="278" spans="5:11" ht="10.5">
      <c r="E278" s="5"/>
      <c r="F278" s="5"/>
      <c r="G278" s="5"/>
      <c r="H278" s="5"/>
      <c r="I278" s="5"/>
      <c r="J278" s="5"/>
      <c r="K278" s="5"/>
    </row>
    <row r="279" spans="5:11" ht="10.5">
      <c r="E279" s="5"/>
      <c r="F279" s="5"/>
      <c r="G279" s="5"/>
      <c r="H279" s="5"/>
      <c r="I279" s="5"/>
      <c r="J279" s="5"/>
      <c r="K279" s="5"/>
    </row>
    <row r="280" spans="5:11" ht="10.5">
      <c r="E280" s="5"/>
      <c r="F280" s="5"/>
      <c r="G280" s="5"/>
      <c r="H280" s="5"/>
      <c r="I280" s="5"/>
      <c r="J280" s="5"/>
      <c r="K280" s="5"/>
    </row>
    <row r="281" spans="5:11" ht="10.5">
      <c r="E281" s="5"/>
      <c r="F281" s="5"/>
      <c r="G281" s="5"/>
      <c r="H281" s="5"/>
      <c r="I281" s="5"/>
      <c r="J281" s="5"/>
      <c r="K281" s="5"/>
    </row>
    <row r="282" spans="5:11" ht="10.5">
      <c r="E282" s="5"/>
      <c r="F282" s="5"/>
      <c r="G282" s="5"/>
      <c r="H282" s="5"/>
      <c r="I282" s="5"/>
      <c r="J282" s="5"/>
      <c r="K282" s="5"/>
    </row>
    <row r="283" spans="5:11" ht="10.5">
      <c r="E283" s="5"/>
      <c r="F283" s="5"/>
      <c r="G283" s="5"/>
      <c r="H283" s="5"/>
      <c r="I283" s="5"/>
      <c r="J283" s="5"/>
      <c r="K283" s="5"/>
    </row>
    <row r="284" spans="5:11" ht="10.5">
      <c r="E284" s="5"/>
      <c r="F284" s="5"/>
      <c r="G284" s="5"/>
      <c r="H284" s="5"/>
      <c r="I284" s="5"/>
      <c r="J284" s="5"/>
      <c r="K284" s="5"/>
    </row>
    <row r="285" spans="5:11" ht="10.5">
      <c r="E285" s="5"/>
      <c r="F285" s="5"/>
      <c r="G285" s="5"/>
      <c r="H285" s="5"/>
      <c r="I285" s="5"/>
      <c r="J285" s="5"/>
      <c r="K285" s="5"/>
    </row>
    <row r="286" spans="5:11" ht="10.5">
      <c r="E286" s="5"/>
      <c r="F286" s="5"/>
      <c r="G286" s="5"/>
      <c r="H286" s="5"/>
      <c r="I286" s="5"/>
      <c r="J286" s="5"/>
      <c r="K286" s="5"/>
    </row>
    <row r="287" spans="5:11" ht="10.5">
      <c r="E287" s="5"/>
      <c r="F287" s="5"/>
      <c r="G287" s="5"/>
      <c r="H287" s="5"/>
      <c r="I287" s="5"/>
      <c r="J287" s="5"/>
      <c r="K287" s="5"/>
    </row>
    <row r="288" spans="5:11" ht="10.5">
      <c r="E288" s="5"/>
      <c r="F288" s="5"/>
      <c r="G288" s="5"/>
      <c r="H288" s="5"/>
      <c r="I288" s="5"/>
      <c r="J288" s="5"/>
      <c r="K288" s="5"/>
    </row>
    <row r="289" spans="5:11" ht="10.5">
      <c r="E289" s="5"/>
      <c r="F289" s="5"/>
      <c r="G289" s="5"/>
      <c r="H289" s="5"/>
      <c r="I289" s="5"/>
      <c r="J289" s="5"/>
      <c r="K289" s="5"/>
    </row>
    <row r="290" spans="5:11" ht="10.5">
      <c r="E290" s="5"/>
      <c r="F290" s="5"/>
      <c r="G290" s="5"/>
      <c r="H290" s="5"/>
      <c r="I290" s="5"/>
      <c r="J290" s="5"/>
      <c r="K290" s="5"/>
    </row>
    <row r="291" spans="5:11" ht="10.5">
      <c r="E291" s="5"/>
      <c r="F291" s="5"/>
      <c r="G291" s="5"/>
      <c r="H291" s="5"/>
      <c r="I291" s="5"/>
      <c r="J291" s="5"/>
      <c r="K291" s="5"/>
    </row>
    <row r="292" spans="5:11" ht="10.5">
      <c r="E292" s="5"/>
      <c r="F292" s="5"/>
      <c r="G292" s="5"/>
      <c r="H292" s="5"/>
      <c r="I292" s="5"/>
      <c r="J292" s="5"/>
      <c r="K292" s="5"/>
    </row>
    <row r="293" spans="5:11" ht="10.5">
      <c r="E293" s="5"/>
      <c r="F293" s="5"/>
      <c r="G293" s="5"/>
      <c r="H293" s="5"/>
      <c r="I293" s="5"/>
      <c r="J293" s="5"/>
      <c r="K293" s="5"/>
    </row>
    <row r="294" spans="5:11" ht="10.5">
      <c r="E294" s="5"/>
      <c r="F294" s="5"/>
      <c r="G294" s="5"/>
      <c r="H294" s="5"/>
      <c r="I294" s="5"/>
      <c r="J294" s="5"/>
      <c r="K294" s="5"/>
    </row>
    <row r="295" spans="5:11" ht="10.5">
      <c r="E295" s="5"/>
      <c r="F295" s="5"/>
      <c r="G295" s="5"/>
      <c r="H295" s="5"/>
      <c r="I295" s="5"/>
      <c r="J295" s="5"/>
      <c r="K295" s="5"/>
    </row>
    <row r="296" spans="5:11" ht="10.5">
      <c r="E296" s="5"/>
      <c r="F296" s="5"/>
      <c r="G296" s="5"/>
      <c r="H296" s="5"/>
      <c r="I296" s="5"/>
      <c r="J296" s="5"/>
      <c r="K296" s="5"/>
    </row>
    <row r="297" spans="5:11" ht="10.5">
      <c r="E297" s="5"/>
      <c r="F297" s="5"/>
      <c r="G297" s="5"/>
      <c r="H297" s="5"/>
      <c r="I297" s="5"/>
      <c r="J297" s="5"/>
      <c r="K297" s="5"/>
    </row>
    <row r="298" spans="5:11" ht="10.5">
      <c r="E298" s="5"/>
      <c r="F298" s="5"/>
      <c r="G298" s="5"/>
      <c r="H298" s="5"/>
      <c r="I298" s="5"/>
      <c r="J298" s="5"/>
      <c r="K298" s="5"/>
    </row>
    <row r="299" spans="5:11" ht="10.5">
      <c r="E299" s="5"/>
      <c r="F299" s="5"/>
      <c r="G299" s="5"/>
      <c r="H299" s="5"/>
      <c r="I299" s="5"/>
      <c r="J299" s="5"/>
      <c r="K299" s="5"/>
    </row>
    <row r="300" spans="5:11" ht="10.5">
      <c r="E300" s="5"/>
      <c r="F300" s="5"/>
      <c r="G300" s="5"/>
      <c r="H300" s="5"/>
      <c r="I300" s="5"/>
      <c r="J300" s="5"/>
      <c r="K300" s="5"/>
    </row>
    <row r="301" spans="5:11" ht="10.5">
      <c r="E301" s="5"/>
      <c r="F301" s="5"/>
      <c r="G301" s="5"/>
      <c r="H301" s="5"/>
      <c r="I301" s="5"/>
      <c r="J301" s="5"/>
      <c r="K301" s="5"/>
    </row>
    <row r="302" spans="5:11" ht="10.5">
      <c r="E302" s="5"/>
      <c r="F302" s="5"/>
      <c r="G302" s="5"/>
      <c r="H302" s="5"/>
      <c r="I302" s="5"/>
      <c r="J302" s="5"/>
      <c r="K302" s="5"/>
    </row>
  </sheetData>
  <sheetProtection/>
  <dataValidations count="5">
    <dataValidation type="whole" allowBlank="1" showInputMessage="1" showErrorMessage="1" sqref="E14">
      <formula1>1</formula1>
      <formula2>420</formula2>
    </dataValidation>
    <dataValidation type="decimal" allowBlank="1" showInputMessage="1" showErrorMessage="1" sqref="E15 K19:N19">
      <formula1>0</formula1>
      <formula2>0.5</formula2>
    </dataValidation>
    <dataValidation type="decimal" operator="lessThan" allowBlank="1" showInputMessage="1" showErrorMessage="1" sqref="E24">
      <formula1>0</formula1>
    </dataValidation>
    <dataValidation type="decimal" operator="greaterThanOrEqual" allowBlank="1" showInputMessage="1" showErrorMessage="1" sqref="E11:E12 E16 E19">
      <formula1>0</formula1>
    </dataValidation>
    <dataValidation type="whole" operator="greaterThanOrEqual" allowBlank="1" showInputMessage="1" showErrorMessage="1" sqref="J20:J24">
      <formula1>0</formula1>
    </dataValidation>
  </dataValidations>
  <printOptions/>
  <pageMargins left="0.75" right="0.75" top="1" bottom="1" header="0.5" footer="0.5"/>
  <pageSetup fitToHeight="99" fitToWidth="1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Functions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JohnD311058</cp:lastModifiedBy>
  <cp:lastPrinted>2004-03-03T14:20:38Z</cp:lastPrinted>
  <dcterms:created xsi:type="dcterms:W3CDTF">2004-03-02T15:44:07Z</dcterms:created>
  <dcterms:modified xsi:type="dcterms:W3CDTF">2006-10-20T17:42:28Z</dcterms:modified>
  <cp:category/>
  <cp:version/>
  <cp:contentType/>
  <cp:contentStatus/>
</cp:coreProperties>
</file>